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FC5820C3-2BD6-44D1-BA6D-6FFC9FEABEE8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X6" i="4"/>
  <c r="X7" i="4"/>
  <c r="X8" i="4"/>
  <c r="X9" i="4"/>
  <c r="X10" i="4"/>
  <c r="X11" i="4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Z41" i="4"/>
  <c r="E45" i="12"/>
  <c r="Z43" i="4"/>
  <c r="G45" i="12" s="1"/>
  <c r="E44" i="12"/>
  <c r="Z42" i="4"/>
  <c r="G44" i="12" s="1"/>
  <c r="E42" i="12"/>
  <c r="Z40" i="4"/>
  <c r="G42" i="12" s="1"/>
  <c r="E41" i="12"/>
  <c r="Z39" i="4"/>
  <c r="E40" i="12"/>
  <c r="Z38" i="4"/>
  <c r="E38" i="12"/>
  <c r="Z36" i="4"/>
  <c r="G38" i="12" s="1"/>
  <c r="E30" i="12"/>
  <c r="Z28" i="4"/>
  <c r="G30" i="12" s="1"/>
  <c r="E27" i="12"/>
  <c r="Z20" i="4"/>
  <c r="G27" i="12" s="1"/>
  <c r="E23" i="12"/>
  <c r="Z12" i="4"/>
  <c r="G23" i="12" s="1"/>
  <c r="E39" i="12"/>
  <c r="Z37" i="4"/>
  <c r="G39" i="12" s="1"/>
  <c r="E15" i="12"/>
  <c r="Z26" i="4"/>
  <c r="G15" i="12" s="1"/>
  <c r="E6" i="12"/>
  <c r="Z14" i="4"/>
  <c r="E31" i="12"/>
  <c r="Z29" i="4"/>
  <c r="G31" i="12" s="1"/>
  <c r="E37" i="12"/>
  <c r="Z35" i="4"/>
  <c r="G37" i="12" s="1"/>
  <c r="E16" i="12"/>
  <c r="Z17" i="4"/>
  <c r="G16" i="12" s="1"/>
  <c r="E32" i="12"/>
  <c r="Z30" i="4"/>
  <c r="G32" i="12" s="1"/>
  <c r="E18" i="12"/>
  <c r="Z21" i="4"/>
  <c r="G18" i="12" s="1"/>
  <c r="E28" i="12"/>
  <c r="Z27" i="4"/>
  <c r="B48" i="1" s="1"/>
  <c r="E36" i="12"/>
  <c r="Z34" i="4"/>
  <c r="G36" i="12" s="1"/>
  <c r="E21" i="12"/>
  <c r="Z18" i="4"/>
  <c r="G21" i="12" s="1"/>
  <c r="E35" i="12"/>
  <c r="Z33" i="4"/>
  <c r="G35" i="12" s="1"/>
  <c r="E34" i="12"/>
  <c r="Z32" i="4"/>
  <c r="G34" i="12" s="1"/>
  <c r="E25" i="12"/>
  <c r="Z24" i="4"/>
  <c r="G25" i="12" s="1"/>
  <c r="E26" i="12"/>
  <c r="Z16" i="4"/>
  <c r="G26" i="12" s="1"/>
  <c r="E24" i="12"/>
  <c r="Z22" i="4"/>
  <c r="G24" i="12" s="1"/>
  <c r="E17" i="12"/>
  <c r="Z13" i="4"/>
  <c r="G17" i="12" s="1"/>
  <c r="E19" i="12"/>
  <c r="Z19" i="4"/>
  <c r="G19" i="12" s="1"/>
  <c r="E14" i="12"/>
  <c r="Z25" i="4"/>
  <c r="G14" i="12" s="1"/>
  <c r="E33" i="12"/>
  <c r="Z31" i="4"/>
  <c r="G33" i="12" s="1"/>
  <c r="E7" i="12"/>
  <c r="Z23" i="4"/>
  <c r="G7" i="12" s="1"/>
  <c r="E12" i="12"/>
  <c r="Z15" i="4"/>
  <c r="G12" i="12" s="1"/>
  <c r="E22" i="12"/>
  <c r="Z11" i="4"/>
  <c r="G22" i="12" s="1"/>
  <c r="E29" i="12"/>
  <c r="Z10" i="4"/>
  <c r="G29" i="12" s="1"/>
  <c r="E13" i="12"/>
  <c r="Z9" i="4"/>
  <c r="G13" i="12" s="1"/>
  <c r="E8" i="12"/>
  <c r="Z8" i="4"/>
  <c r="G8" i="12" s="1"/>
  <c r="E11" i="12"/>
  <c r="Z5" i="4"/>
  <c r="G11" i="12" s="1"/>
  <c r="E9" i="12"/>
  <c r="Z7" i="4"/>
  <c r="G9" i="12" s="1"/>
  <c r="E10" i="12"/>
  <c r="Z6" i="4"/>
  <c r="G10" i="12" s="1"/>
  <c r="E20" i="12"/>
  <c r="Z4" i="4"/>
  <c r="G20" i="12" s="1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<sst xmlns="http://schemas.openxmlformats.org/spreadsheetml/2006/main" count="469" uniqueCount="339">
  <si>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</si>
  <si>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</si>
  <si>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</si>
  <si>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</si>
  <si>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</si>
  <si>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</si>
  <si>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</si>
  <si>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</si>
  <si>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</si>
  <si>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</si>
  <si>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</si>
  <si>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</si>
  <si>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</si>
  <si>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</si>
  <si>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</si>
  <si>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</si>
  <si>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</si>
  <si>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</si>
  <si>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</si>
  <si>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</si>
  <si>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</si>
  <si>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</si>
  <si>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</si>
  <si>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</si>
  <si>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</si>
  <si>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</si>
  <si>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</si>
  <si>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</si>
  <si>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</si>
  <si>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</si>
  <si>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</si>
  <si>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</si>
  <si>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</si>
  <si>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</si>
  <si>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</si>
  <si>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</si>
  <si>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</si>
  <si>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</si>
  <si>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</si>
  <si>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</si>
  <si>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</si>
  <si>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</si>
  <si>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</si>
  <si>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</si>
  <si>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</si>
  <si>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</si>
  <si>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</si>
  <si>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</si>
  <si>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</si>
  <si>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</si>
  <si>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</si>
  <si>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</si>
  <si>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</si>
  <si>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</si>
  <si>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</si>
  <si>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</si>
  <si>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</si>
  <si>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</si>
  <si>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</si>
  <si>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</si>
  <si>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</si>
  <si>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</si>
  <si>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</si>
  <si>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</si>
  <si>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</si>
  <si>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</si>
  <si>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</si>
  <si>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</si>
  <si>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</si>
  <si>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</si>
  <si>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</si>
  <si>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</si>
  <si>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</si>
  <si>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</si>
  <si>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</si>
  <si>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</si>
  <si>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</si>
  <si>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</si>
  <si>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</si>
  <si>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</si>
  <si>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</si>
  <si>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</si>
  <si>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</si>
  <si>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</si>
  <si>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</si>
  <si>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</si>
  <si>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</si>
  <si>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</si>
  <si>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</si>
  <si>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</si>
  <si>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</si>
  <si>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</si>
  <si>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</si>
  <si>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</si>
  <si>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</si>
  <si>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</si>
  <si>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</si>
  <si>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</si>
  <si>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</si>
  <si>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</si>
  <si>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</si>
  <si>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</si>
  <si>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</si>
  <si>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</si>
  <si>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</si>
  <si>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</si>
  <si>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</si>
  <si>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</si>
  <si>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</si>
  <si>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</si>
  <si>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</si>
  <si>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</si>
  <si>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</si>
  <si>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</si>
  <si>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</si>
  <si>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</si>
  <si>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</si>
  <si>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</si>
  <si>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</si>
  <si>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</si>
  <si>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</si>
  <si>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</si>
  <si>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</si>
  <si>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</si>
  <si>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</si>
  <si>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</si>
  <si>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</si>
  <si>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</si>
  <si>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</si>
  <si>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</si>
  <si>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</si>
  <si>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</si>
  <si>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</si>
  <si>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</si>
  <si>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</si>
  <si>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</si>
  <si>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</si>
  <si>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</si>
  <si>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</si>
  <si>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</si>
  <si>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</si>
  <si>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</si>
  <si>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</si>
  <si>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</si>
  <si>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</si>
  <si>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</si>
  <si>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</si>
  <si>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</si>
  <si>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</si>
  <si>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</si>
  <si>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</si>
  <si>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</si>
  <si>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</si>
  <si>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</si>
  <si>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</si>
  <si>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</si>
  <si>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</si>
  <si>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</si>
  <si>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</si>
  <si>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</si>
  <si>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</si>
  <si>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</si>
  <si>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</si>
  <si>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</si>
  <si>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</si>
  <si>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</si>
  <si>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</si>
  <si>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</si>
  <si>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</si>
  <si>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</si>
  <si>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</si>
  <si>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</si>
  <si>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</si>
  <si>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</si>
  <si>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</si>
  <si>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</si>
  <si>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</si>
  <si>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</si>
  <si>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</si>
  <si>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</si>
  <si>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</si>
  <si>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</si>
  <si>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</si>
  <si>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</si>
  <si>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</si>
  <si>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</si>
  <si>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</si>
  <si>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</si>
  <si>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</si>
  <si>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</si>
  <si>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</si>
  <si>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</si>
  <si>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</si>
  <si>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</si>
  <si>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</si>
  <si>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</si>
  <si>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</si>
  <si>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</si>
  <si>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</si>
  <si>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</si>
  <si>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</si>
  <si>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</si>
  <si>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</si>
  <si>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</si>
  <si>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</si>
  <si>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</si>
  <si>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</si>
  <si>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</si>
  <si>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</si>
  <si>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</si>
  <si>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</si>
  <si>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</si>
  <si>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</si>
  <si>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</si>
  <si>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</si>
  <si>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</si>
  <si>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</si>
  <si>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</si>
  <si>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</si>
  <si>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</si>
  <si>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</si>
  <si>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</si>
  <si>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</si>
  <si>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</si>
  <si>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</si>
  <si>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</si>
  <si>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</si>
  <si>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</si>
  <si>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</si>
  <si>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</si>
  <si>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</si>
  <si>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</si>
  <si>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</si>
  <si>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</si>
  <si>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</si>
  <si>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</si>
  <si>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</si>
  <si>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</si>
  <si>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</si>
  <si>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</si>
  <si>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</si>
  <si>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</si>
  <si>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</si>
  <si>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</si>
  <si>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</si>
  <si>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</si>
  <si>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</si>
  <si>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</si>
  <si>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</si>
  <si>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</si>
  <si>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</si>
  <si>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</si>
  <si>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</si>
  <si>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</si>
  <si>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</si>
  <si>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</si>
  <si>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</si>
  <si>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</si>
  <si>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</si>
  <si>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</si>
  <si>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</si>
  <si>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</si>
  <si>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</si>
  <si>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</si>
  <si>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</si>
  <si>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</si>
  <si>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</si>
  <si>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</si>
  <si>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</si>
  <si>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</si>
  <si>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</si>
  <si>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</si>
  <si>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</si>
  <si>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</si>
  <si>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</si>
  <si>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</si>
  <si>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</si>
  <si>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</si>
  <si>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</si>
  <si>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</si>
  <si>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</si>
  <si>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</si>
  <si>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</si>
  <si>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</si>
  <si>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</si>
  <si>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</si>
  <si>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</si>
  <si>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</si>
  <si>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</si>
  <si>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</si>
  <si>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A. FARID FAUZAN</t>
  </si>
  <si>
    <t>385</t>
  </si>
  <si>
    <t>AHMAT REHAN MUHALIM</t>
  </si>
  <si>
    <t>386</t>
  </si>
  <si>
    <t>DEDY MULYANA</t>
  </si>
  <si>
    <t>387</t>
  </si>
  <si>
    <t>DIMAS PRASETYO</t>
  </si>
  <si>
    <t>388</t>
  </si>
  <si>
    <t>FIRDAN GANI</t>
  </si>
  <si>
    <t>389</t>
  </si>
  <si>
    <t>HERDIYANSYAH</t>
  </si>
  <si>
    <t>390</t>
  </si>
  <si>
    <t>M RAYHAN ASWARDI NASUTION</t>
  </si>
  <si>
    <t>391</t>
  </si>
  <si>
    <t>MUHAMAD ADLI FAUZAN</t>
  </si>
  <si>
    <t>392</t>
  </si>
  <si>
    <t>MUHAMAD ARIFIN JAYA NEGARA</t>
  </si>
  <si>
    <t>393</t>
  </si>
  <si>
    <t>MUHAMMAD ARIYANSYAH</t>
  </si>
  <si>
    <t>394</t>
  </si>
  <si>
    <t>MUHAMAD FARIS MUBASYIR</t>
  </si>
  <si>
    <t>395</t>
  </si>
  <si>
    <t>MUHAMMAD FAIS AL FARIZI</t>
  </si>
  <si>
    <t>396</t>
  </si>
  <si>
    <t>MUHAMMAD FAREL</t>
  </si>
  <si>
    <t>397</t>
  </si>
  <si>
    <t>MUHAMMAD FIKRI HAERUDIN</t>
  </si>
  <si>
    <t>398</t>
  </si>
  <si>
    <t>MUHAMMAD IKBAL TAUFIKUR ROHMAN</t>
  </si>
  <si>
    <t>399</t>
  </si>
  <si>
    <t>MUHAMMAD RAHIL RIZKY</t>
  </si>
  <si>
    <t>400</t>
  </si>
  <si>
    <t>MUHAMMAD RIDWAN FIRDAUS</t>
  </si>
  <si>
    <t>401</t>
  </si>
  <si>
    <t>MUHAMMAD RIKI</t>
  </si>
  <si>
    <t>402</t>
  </si>
  <si>
    <t>NABEEL PASHA ADLI ALFATHI</t>
  </si>
  <si>
    <t>403</t>
  </si>
  <si>
    <t>OGLINT KIANO</t>
  </si>
  <si>
    <t>404</t>
  </si>
  <si>
    <t>PRAYOGA FIRMANZAH</t>
  </si>
  <si>
    <t>405</t>
  </si>
  <si>
    <t>PUTRA BATARA</t>
  </si>
  <si>
    <t>406</t>
  </si>
  <si>
    <t>ROLANSYAH ABDELLAH PUTRA</t>
  </si>
  <si>
    <t>407</t>
  </si>
  <si>
    <t>SALMAN FAWAZ</t>
  </si>
  <si>
    <t>408</t>
  </si>
  <si>
    <t>الخامس د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</si>
</sst>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2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2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F13" sqref="F13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18" t="s">
        <v>174</v>
      </c>
      <c r="D1" s="118"/>
      <c r="E1" s="118"/>
      <c r="F1" s="118"/>
      <c r="G1" s="118"/>
    </row>
    <row r="2" spans="1:12" x14ac:dyDescent="0.3">
      <c r="C2" s="118"/>
      <c r="D2" s="118"/>
      <c r="E2" s="118"/>
      <c r="F2" s="118"/>
      <c r="G2" s="118"/>
    </row>
    <row r="3" spans="1:12" ht="7.5" customHeight="1" x14ac:dyDescent="0.3">
      <c r="C3" s="119"/>
      <c r="D3" s="120"/>
      <c r="E3" s="120"/>
      <c r="F3" s="120"/>
      <c r="G3" s="121"/>
    </row>
    <row r="4" spans="1:12" ht="21" x14ac:dyDescent="0.3">
      <c r="A4" s="19" t="s">
        <v>97</v>
      </c>
      <c r="B4" s="19" t="str">
        <f>CONCATENATE(F4," ",E4," ",C4)</f>
        <v>الصف  : الخامس د للبنين</v>
      </c>
      <c r="C4" s="123" t="s">
        <v>338</v>
      </c>
      <c r="D4" s="123"/>
      <c r="E4" s="123" t="s">
        <v>155</v>
      </c>
      <c r="F4" s="57" t="s">
        <v>154</v>
      </c>
      <c r="G4" s="117">
        <v>1</v>
      </c>
    </row>
    <row r="5" spans="1:12" x14ac:dyDescent="0.3">
      <c r="C5" s="123"/>
      <c r="D5" s="123"/>
      <c r="E5" s="123"/>
      <c r="F5" s="56" t="s">
        <v>159</v>
      </c>
      <c r="G5" s="117"/>
    </row>
    <row r="6" spans="1:12" ht="7.05" customHeight="1" x14ac:dyDescent="0.3">
      <c r="C6" s="126"/>
      <c r="D6" s="126"/>
      <c r="E6" s="126"/>
      <c r="F6" s="126"/>
      <c r="G6" s="126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4" t="s">
        <v>286</v>
      </c>
      <c r="D7" s="124"/>
      <c r="E7" s="123" t="s">
        <v>155</v>
      </c>
      <c r="F7" s="57" t="s">
        <v>166</v>
      </c>
      <c r="G7" s="117">
        <v>2</v>
      </c>
    </row>
    <row r="8" spans="1:12" ht="21.6" customHeight="1" x14ac:dyDescent="0.3">
      <c r="C8" s="124"/>
      <c r="D8" s="124"/>
      <c r="E8" s="123"/>
      <c r="F8" s="56" t="s">
        <v>167</v>
      </c>
      <c r="G8" s="117"/>
    </row>
    <row r="9" spans="1:12" ht="7.05" customHeight="1" x14ac:dyDescent="0.3">
      <c r="C9" s="126"/>
      <c r="D9" s="126"/>
      <c r="E9" s="126"/>
      <c r="F9" s="126"/>
      <c r="G9" s="126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27" t="s">
        <v>283</v>
      </c>
      <c r="D10" s="127"/>
      <c r="E10" s="123" t="s">
        <v>155</v>
      </c>
      <c r="F10" s="55" t="s">
        <v>156</v>
      </c>
      <c r="G10" s="117">
        <v>3</v>
      </c>
    </row>
    <row r="11" spans="1:12" ht="26.1" customHeight="1" x14ac:dyDescent="0.3">
      <c r="B11" s="108" t="str">
        <f>CONCATENATE(C10," ","م")</f>
        <v>٢٠٢٥ - ٢٠٢٦ م</v>
      </c>
      <c r="C11" s="125" t="s">
        <v>284</v>
      </c>
      <c r="D11" s="125"/>
      <c r="E11" s="123"/>
      <c r="F11" s="56" t="s">
        <v>158</v>
      </c>
      <c r="G11" s="117"/>
    </row>
    <row r="12" spans="1:12" ht="6.6" customHeight="1" x14ac:dyDescent="0.3">
      <c r="B12" s="108" t="str">
        <f>CONCATENATE(C11," ","ه")</f>
        <v>١٤٤٦ - ١٤٤٧ ه</v>
      </c>
      <c r="C12" s="126"/>
      <c r="D12" s="126"/>
      <c r="E12" s="126"/>
      <c r="F12" s="126"/>
      <c r="G12" s="126"/>
    </row>
    <row r="13" spans="1:12" ht="21" x14ac:dyDescent="0.4">
      <c r="C13" s="129" t="s">
        <v>287</v>
      </c>
      <c r="D13" s="130"/>
      <c r="E13" s="123" t="s">
        <v>155</v>
      </c>
      <c r="F13" s="55" t="s">
        <v>157</v>
      </c>
      <c r="G13" s="117">
        <v>4</v>
      </c>
      <c r="K13" s="53"/>
    </row>
    <row r="14" spans="1:12" ht="22.5" customHeight="1" x14ac:dyDescent="0.3">
      <c r="C14" s="130" t="s">
        <v>288</v>
      </c>
      <c r="D14" s="130"/>
      <c r="E14" s="123"/>
      <c r="F14" s="56" t="s">
        <v>160</v>
      </c>
      <c r="G14" s="117"/>
      <c r="K14" s="53"/>
    </row>
    <row r="15" spans="1:12" ht="6" customHeight="1" x14ac:dyDescent="0.3">
      <c r="C15" s="126"/>
      <c r="D15" s="126"/>
      <c r="E15" s="126"/>
      <c r="F15" s="126"/>
      <c r="G15" s="126"/>
    </row>
    <row r="16" spans="1:12" ht="21" x14ac:dyDescent="0.4">
      <c r="C16" s="122" t="s">
        <v>289</v>
      </c>
      <c r="D16" s="122"/>
      <c r="E16" s="123" t="s">
        <v>155</v>
      </c>
      <c r="F16" s="55" t="s">
        <v>162</v>
      </c>
      <c r="G16" s="117">
        <v>5</v>
      </c>
      <c r="K16" s="53"/>
      <c r="L16" s="53"/>
    </row>
    <row r="17" spans="3:12" ht="14.55" customHeight="1" x14ac:dyDescent="0.3">
      <c r="C17" s="122"/>
      <c r="D17" s="122"/>
      <c r="E17" s="123"/>
      <c r="F17" s="56" t="s">
        <v>164</v>
      </c>
      <c r="G17" s="117"/>
    </row>
    <row r="18" spans="3:12" ht="6" customHeight="1" x14ac:dyDescent="0.4">
      <c r="C18" s="128"/>
      <c r="D18" s="128"/>
      <c r="E18" s="128"/>
      <c r="F18" s="128"/>
      <c r="G18" s="128"/>
    </row>
    <row r="19" spans="3:12" ht="21" x14ac:dyDescent="0.4">
      <c r="C19" s="122"/>
      <c r="D19" s="122"/>
      <c r="E19" s="123" t="s">
        <v>155</v>
      </c>
      <c r="F19" s="55" t="s">
        <v>163</v>
      </c>
      <c r="G19" s="117">
        <v>6</v>
      </c>
    </row>
    <row r="20" spans="3:12" ht="15" customHeight="1" x14ac:dyDescent="0.3">
      <c r="C20" s="122"/>
      <c r="D20" s="122"/>
      <c r="E20" s="123"/>
      <c r="F20" s="54" t="s">
        <v>165</v>
      </c>
      <c r="G20" s="117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8" sqref="B8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 t="s">
        <v>330</v>
      </c>
      <c r="C22" s="111" t="s">
        <v>331</v>
      </c>
      <c r="D22" s="112" t="s">
        <v>97</v>
      </c>
    </row>
    <row r="23" spans="1:4" ht="18" customHeight="1" x14ac:dyDescent="0.3">
      <c r="A23" s="6">
        <v>22</v>
      </c>
      <c r="B23" s="110" t="s">
        <v>332</v>
      </c>
      <c r="C23" s="111" t="s">
        <v>333</v>
      </c>
      <c r="D23" s="112" t="s">
        <v>97</v>
      </c>
    </row>
    <row r="24" spans="1:4" ht="18" customHeight="1" x14ac:dyDescent="0.3">
      <c r="A24" s="6">
        <v>23</v>
      </c>
      <c r="B24" s="110" t="s">
        <v>334</v>
      </c>
      <c r="C24" s="111" t="s">
        <v>335</v>
      </c>
      <c r="D24" s="112" t="s">
        <v>97</v>
      </c>
    </row>
    <row r="25" spans="1:4" ht="18" customHeight="1" x14ac:dyDescent="0.3">
      <c r="A25" s="6">
        <v>24</v>
      </c>
      <c r="B25" s="110" t="s">
        <v>336</v>
      </c>
      <c r="C25" s="111" t="s">
        <v>337</v>
      </c>
      <c r="D25" s="112" t="s">
        <v>97</v>
      </c>
    </row>
    <row r="26" spans="1:4" ht="18" customHeight="1" x14ac:dyDescent="0.3">
      <c r="A26" s="6">
        <v>25</v>
      </c>
      <c r="B26" s="110"/>
      <c r="C26" s="111"/>
      <c r="D26" s="112" t="s">
        <v>97</v>
      </c>
    </row>
    <row r="27" spans="1:4" ht="18" customHeight="1" x14ac:dyDescent="0.3">
      <c r="A27" s="6">
        <v>26</v>
      </c>
      <c r="B27" s="110"/>
      <c r="C27" s="111"/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zoomScaleNormal="100" workbookViewId="0">
      <selection activeCell="K15" sqref="K1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A. FARID FAUZAN</v>
      </c>
      <c r="C2" s="8" t="str">
        <f>'Data Siswa'!C2</f>
        <v>385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AHMAT REHAN MUHALIM</v>
      </c>
      <c r="C3" s="8" t="str">
        <f>'Data Siswa'!C3</f>
        <v>386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DEDY MULYANA</v>
      </c>
      <c r="C4" s="8" t="str">
        <f>'Data Siswa'!C4</f>
        <v>387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DIMAS PRASETYO</v>
      </c>
      <c r="C5" s="8" t="str">
        <f>'Data Siswa'!C5</f>
        <v>388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FIRDAN GANI</v>
      </c>
      <c r="C6" s="8" t="str">
        <f>'Data Siswa'!C6</f>
        <v>389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HERDIYANSYAH</v>
      </c>
      <c r="C7" s="8" t="str">
        <f>'Data Siswa'!C7</f>
        <v>390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M RAYHAN ASWARDI NASUTION</v>
      </c>
      <c r="C8" s="8" t="str">
        <f>'Data Siswa'!C8</f>
        <v>391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MUHAMAD ADLI FAUZAN</v>
      </c>
      <c r="C9" s="8" t="str">
        <f>'Data Siswa'!C9</f>
        <v>392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MUHAMAD ARIFIN JAYA NEGARA</v>
      </c>
      <c r="C10" s="8" t="str">
        <f>'Data Siswa'!C10</f>
        <v>393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MUHAMMAD ARIYANSYAH</v>
      </c>
      <c r="C11" s="8" t="str">
        <f>'Data Siswa'!C11</f>
        <v>394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MUHAMAD FARIS MUBASYIR</v>
      </c>
      <c r="C12" s="8" t="str">
        <f>'Data Siswa'!C12</f>
        <v>395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MUHAMMAD FAIS AL FARIZI</v>
      </c>
      <c r="C13" s="8" t="str">
        <f>'Data Siswa'!C13</f>
        <v>396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MUHAMMAD FAREL</v>
      </c>
      <c r="C14" s="8" t="str">
        <f>'Data Siswa'!C14</f>
        <v>397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MUHAMMAD FIKRI HAERUDIN</v>
      </c>
      <c r="C15" s="8" t="str">
        <f>'Data Siswa'!C15</f>
        <v>398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MUHAMMAD IKBAL TAUFIKUR ROHMAN</v>
      </c>
      <c r="C16" s="8" t="str">
        <f>'Data Siswa'!C16</f>
        <v>399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MUHAMMAD RAHIL RIZKY</v>
      </c>
      <c r="C17" s="8" t="str">
        <f>'Data Siswa'!C17</f>
        <v>400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6" x14ac:dyDescent="0.3">
      <c r="A18" s="8">
        <f>'Data Siswa'!A18</f>
        <v>17</v>
      </c>
      <c r="B18" s="75" t="str">
        <f>'Data Siswa'!B18</f>
        <v>MUHAMMAD RIDWAN FIRDAUS</v>
      </c>
      <c r="C18" s="8" t="str">
        <f>'Data Siswa'!C18</f>
        <v>401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6" x14ac:dyDescent="0.3">
      <c r="A19" s="8">
        <f>'Data Siswa'!A19</f>
        <v>18</v>
      </c>
      <c r="B19" s="75" t="str">
        <f>'Data Siswa'!B19</f>
        <v>MUHAMMAD RIKI</v>
      </c>
      <c r="C19" s="8" t="str">
        <f>'Data Siswa'!C19</f>
        <v>402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6" x14ac:dyDescent="0.3">
      <c r="A20" s="8">
        <f>'Data Siswa'!A20</f>
        <v>19</v>
      </c>
      <c r="B20" s="75" t="str">
        <f>'Data Siswa'!B20</f>
        <v>NABEEL PASHA ADLI ALFATHI</v>
      </c>
      <c r="C20" s="8" t="str">
        <f>'Data Siswa'!C20</f>
        <v>403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OGLINT KIANO</v>
      </c>
      <c r="C21" s="8" t="str">
        <f>'Data Siswa'!C21</f>
        <v>404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 t="str">
        <f>'Data Siswa'!B22</f>
        <v>PRAYOGA FIRMANZAH</v>
      </c>
      <c r="C22" s="8" t="str">
        <f>'Data Siswa'!C22</f>
        <v>405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 t="str">
        <f>'Data Siswa'!B23</f>
        <v>PUTRA BATARA</v>
      </c>
      <c r="C23" s="8" t="str">
        <f>'Data Siswa'!C23</f>
        <v>406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6" x14ac:dyDescent="0.3">
      <c r="A24" s="8">
        <f>'Data Siswa'!A24</f>
        <v>23</v>
      </c>
      <c r="B24" s="75" t="str">
        <f>'Data Siswa'!B24</f>
        <v>ROLANSYAH ABDELLAH PUTRA</v>
      </c>
      <c r="C24" s="8" t="str">
        <f>'Data Siswa'!C24</f>
        <v>407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 t="str">
        <f>'Data Siswa'!B25</f>
        <v>SALMAN FAWAZ</v>
      </c>
      <c r="C25" s="8" t="str">
        <f>'Data Siswa'!C25</f>
        <v>408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R4" sqref="R4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42" t="s">
        <v>176</v>
      </c>
      <c r="B1" s="143"/>
      <c r="C1" s="144"/>
      <c r="D1" s="145" t="s">
        <v>177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7"/>
      <c r="V1" s="132"/>
      <c r="W1" s="134" t="s">
        <v>175</v>
      </c>
      <c r="X1" s="135"/>
      <c r="Y1" s="136"/>
      <c r="Z1" s="69" t="s">
        <v>170</v>
      </c>
    </row>
    <row r="2" spans="1:26" ht="19.5" customHeight="1" x14ac:dyDescent="0.3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1"/>
      <c r="T2" s="148" t="s">
        <v>27</v>
      </c>
      <c r="U2" s="149" t="s">
        <v>99</v>
      </c>
      <c r="V2" s="133"/>
      <c r="W2" s="137" t="s">
        <v>42</v>
      </c>
      <c r="X2" s="137" t="s">
        <v>99</v>
      </c>
      <c r="Y2" s="137" t="s">
        <v>90</v>
      </c>
      <c r="Z2" s="131" t="s">
        <v>179</v>
      </c>
    </row>
    <row r="3" spans="1:26" ht="85.05" customHeight="1" x14ac:dyDescent="0.3">
      <c r="A3" s="150"/>
      <c r="B3" s="148"/>
      <c r="C3" s="150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8"/>
      <c r="U3" s="149"/>
      <c r="V3" s="133"/>
      <c r="W3" s="138"/>
      <c r="X3" s="138"/>
      <c r="Y3" s="138"/>
      <c r="Z3" s="131"/>
    </row>
    <row r="4" spans="1:26" ht="15.6" x14ac:dyDescent="0.3">
      <c r="A4" s="8">
        <f>'Data Siswa'!A2</f>
        <v>1</v>
      </c>
      <c r="B4" s="99" t="str">
        <f>'Data Siswa'!B2</f>
        <v>A. FARID FAUZAN</v>
      </c>
      <c r="C4" s="8" t="str">
        <f>'Data Siswa'!C2</f>
        <v>385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IF(X4&lt;=4.5,"غيرمنقول",IF(AND(X4&gt;4.5,X4&lt;=5.5),"منقول مؤقت",IF(X4&gt;5.5,"منقول")))</f>
        <v>#DIV/0!</v>
      </c>
    </row>
    <row r="5" spans="1:26" ht="15.6" x14ac:dyDescent="0.3">
      <c r="A5" s="8">
        <f>'Data Siswa'!A3</f>
        <v>2</v>
      </c>
      <c r="B5" s="100" t="str">
        <f>'Data Siswa'!B3</f>
        <v>AHMAT REHAN MUHALIM</v>
      </c>
      <c r="C5" s="8" t="str">
        <f>'Data Siswa'!C3</f>
        <v>386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IF(X5&lt;=4.5,"غيرمنقول",IF(AND(X5&gt;4.5,X5&lt;=5.5),"منقول مؤقت",IF(X5&gt;5.5,"منقول")))</f>
        <v>#DIV/0!</v>
      </c>
    </row>
    <row r="6" spans="1:26" ht="15.6" x14ac:dyDescent="0.3">
      <c r="A6" s="8">
        <f>'Data Siswa'!A4</f>
        <v>3</v>
      </c>
      <c r="B6" s="99" t="str">
        <f>'Data Siswa'!B4</f>
        <v>DEDY MULYANA</v>
      </c>
      <c r="C6" s="8" t="str">
        <f>'Data Siswa'!C4</f>
        <v>387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DIMAS PRASETYO</v>
      </c>
      <c r="C7" s="8" t="str">
        <f>'Data Siswa'!C5</f>
        <v>388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FIRDAN GANI</v>
      </c>
      <c r="C8" s="8" t="str">
        <f>'Data Siswa'!C6</f>
        <v>389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HERDIYANSYAH</v>
      </c>
      <c r="C9" s="8" t="str">
        <f>'Data Siswa'!C7</f>
        <v>390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M RAYHAN ASWARDI NASUTION</v>
      </c>
      <c r="C10" s="8" t="str">
        <f>'Data Siswa'!C8</f>
        <v>391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MUHAMAD ADLI FAUZAN</v>
      </c>
      <c r="C11" s="8" t="str">
        <f>'Data Siswa'!C9</f>
        <v>392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MUHAMAD ARIFIN JAYA NEGARA</v>
      </c>
      <c r="C12" s="8" t="str">
        <f>'Data Siswa'!C10</f>
        <v>393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MUHAMMAD ARIYANSYAH</v>
      </c>
      <c r="C13" s="8" t="str">
        <f>'Data Siswa'!C11</f>
        <v>394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MUHAMAD FARIS MUBASYIR</v>
      </c>
      <c r="C14" s="8" t="str">
        <f>'Data Siswa'!C12</f>
        <v>395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MUHAMMAD FAIS AL FARIZI</v>
      </c>
      <c r="C15" s="8" t="str">
        <f>'Data Siswa'!C13</f>
        <v>396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MUHAMMAD FAREL</v>
      </c>
      <c r="C16" s="8" t="str">
        <f>'Data Siswa'!C14</f>
        <v>397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MUHAMMAD FIKRI HAERUDIN</v>
      </c>
      <c r="C17" s="8" t="str">
        <f>'Data Siswa'!C15</f>
        <v>398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MUHAMMAD IKBAL TAUFIKUR ROHMAN</v>
      </c>
      <c r="C18" s="8" t="str">
        <f>'Data Siswa'!C16</f>
        <v>399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MUHAMMAD RAHIL RIZKY</v>
      </c>
      <c r="C19" s="8" t="str">
        <f>'Data Siswa'!C17</f>
        <v>400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MUHAMMAD RIDWAN FIRDAUS</v>
      </c>
      <c r="C20" s="8" t="str">
        <f>'Data Siswa'!C18</f>
        <v>401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MUHAMMAD RIKI</v>
      </c>
      <c r="C21" s="8" t="str">
        <f>'Data Siswa'!C19</f>
        <v>402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NABEEL PASHA ADLI ALFATHI</v>
      </c>
      <c r="C22" s="8" t="str">
        <f>'Data Siswa'!C20</f>
        <v>403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OGLINT KIANO</v>
      </c>
      <c r="C23" s="8" t="str">
        <f>'Data Siswa'!C21</f>
        <v>404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 t="str">
        <f>'Data Siswa'!B22</f>
        <v>PRAYOGA FIRMANZAH</v>
      </c>
      <c r="C24" s="8" t="str">
        <f>'Data Siswa'!C22</f>
        <v>405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 t="str">
        <f>'Data Siswa'!B23</f>
        <v>PUTRA BATARA</v>
      </c>
      <c r="C25" s="8" t="str">
        <f>'Data Siswa'!C23</f>
        <v>406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 t="str">
        <f>'Data Siswa'!B24</f>
        <v>ROLANSYAH ABDELLAH PUTRA</v>
      </c>
      <c r="C26" s="8" t="str">
        <f>'Data Siswa'!C24</f>
        <v>407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 t="str">
        <f>'Data Siswa'!B25</f>
        <v>SALMAN FAWAZ</v>
      </c>
      <c r="C27" s="8" t="str">
        <f>'Data Siswa'!C25</f>
        <v>408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qrNXSFJQWTkt+bd7qjssngjaB0hENetwGqiVOYGJzawQIwY8ASm+ARCUspGOuZGM+UVIZlSmuRMbaau7GJuXOw==" saltValue="E1a5tMz/C5gCPauBaWj2O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2" sqref="J12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50" t="s">
        <v>76</v>
      </c>
      <c r="B2" s="148" t="s">
        <v>55</v>
      </c>
      <c r="C2" s="150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50"/>
      <c r="B3" s="148"/>
      <c r="C3" s="150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A. FARID FAUZAN</v>
      </c>
      <c r="C4" s="8" t="str">
        <f>'Data Siswa'!C2</f>
        <v>385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AHMAT REHAN MUHALIM</v>
      </c>
      <c r="C5" s="8" t="str">
        <f>'Data Siswa'!C3</f>
        <v>386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DEDY MULYANA</v>
      </c>
      <c r="C6" s="8" t="str">
        <f>'Data Siswa'!C4</f>
        <v>387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DIMAS PRASETYO</v>
      </c>
      <c r="C7" s="8" t="str">
        <f>'Data Siswa'!C5</f>
        <v>388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FIRDAN GANI</v>
      </c>
      <c r="C8" s="8" t="str">
        <f>'Data Siswa'!C6</f>
        <v>389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HERDIYANSYAH</v>
      </c>
      <c r="C9" s="8" t="str">
        <f>'Data Siswa'!C7</f>
        <v>390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M RAYHAN ASWARDI NASUTION</v>
      </c>
      <c r="C10" s="8" t="str">
        <f>'Data Siswa'!C8</f>
        <v>391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MUHAMAD ADLI FAUZAN</v>
      </c>
      <c r="C11" s="8" t="str">
        <f>'Data Siswa'!C9</f>
        <v>392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MUHAMAD ARIFIN JAYA NEGARA</v>
      </c>
      <c r="C12" s="8" t="str">
        <f>'Data Siswa'!C10</f>
        <v>393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MUHAMMAD ARIYANSYAH</v>
      </c>
      <c r="C13" s="8" t="str">
        <f>'Data Siswa'!C11</f>
        <v>394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MUHAMAD FARIS MUBASYIR</v>
      </c>
      <c r="C14" s="8" t="str">
        <f>'Data Siswa'!C12</f>
        <v>395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MUHAMMAD FAIS AL FARIZI</v>
      </c>
      <c r="C15" s="8" t="str">
        <f>'Data Siswa'!C13</f>
        <v>396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MUHAMMAD FAREL</v>
      </c>
      <c r="C16" s="8" t="str">
        <f>'Data Siswa'!C14</f>
        <v>397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MUHAMMAD FIKRI HAERUDIN</v>
      </c>
      <c r="C17" s="8" t="str">
        <f>'Data Siswa'!C15</f>
        <v>398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MUHAMMAD IKBAL TAUFIKUR ROHMAN</v>
      </c>
      <c r="C18" s="8" t="str">
        <f>'Data Siswa'!C16</f>
        <v>399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MUHAMMAD RAHIL RIZKY</v>
      </c>
      <c r="C19" s="8" t="str">
        <f>'Data Siswa'!C17</f>
        <v>400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MUHAMMAD RIDWAN FIRDAUS</v>
      </c>
      <c r="C20" s="8" t="str">
        <f>'Data Siswa'!C18</f>
        <v>401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MUHAMMAD RIKI</v>
      </c>
      <c r="C21" s="8" t="str">
        <f>'Data Siswa'!C19</f>
        <v>402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NABEEL PASHA ADLI ALFATHI</v>
      </c>
      <c r="C22" s="8" t="str">
        <f>'Data Siswa'!C20</f>
        <v>403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OGLINT KIANO</v>
      </c>
      <c r="C23" s="8" t="str">
        <f>'Data Siswa'!C21</f>
        <v>404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 t="str">
        <f>'Data Siswa'!B22</f>
        <v>PRAYOGA FIRMANZAH</v>
      </c>
      <c r="C24" s="8" t="str">
        <f>'Data Siswa'!C22</f>
        <v>405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 t="str">
        <f>'Data Siswa'!B23</f>
        <v>PUTRA BATARA</v>
      </c>
      <c r="C25" s="8" t="str">
        <f>'Data Siswa'!C23</f>
        <v>406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 t="str">
        <f>'Data Siswa'!B24</f>
        <v>ROLANSYAH ABDELLAH PUTRA</v>
      </c>
      <c r="C26" s="8" t="str">
        <f>'Data Siswa'!C24</f>
        <v>407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 t="str">
        <f>'Data Siswa'!B25</f>
        <v>SALMAN FAWAZ</v>
      </c>
      <c r="C27" s="8" t="str">
        <f>'Data Siswa'!C25</f>
        <v>408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102" zoomScaleNormal="70" zoomScalePageLayoutView="102" workbookViewId="0">
      <selection activeCell="O10" sqref="O10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265" t="str">
        <f>VLOOKUP($U$8,'Nilai Tahriri'!$A$2:$X$41,2,FALSE)&amp;" ( "&amp;VLOOKUP($U$8,'Data Siswa'!$A$2:$D$41,3,FALSE)&amp;" )"</f>
        <v>PUTRA BATARA ( 406 )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</row>
    <row r="2" spans="2:28" ht="11.55" customHeight="1" x14ac:dyDescent="0.3">
      <c r="B2" s="265"/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266" t="str">
        <f>Biodata!$B$12</f>
        <v>١٤٤٦ - ١٤٤٧ ه</v>
      </c>
      <c r="C3" s="266"/>
      <c r="D3" s="267" t="str">
        <f>Biodata!$B$10</f>
        <v xml:space="preserve">العام الدراسي : </v>
      </c>
      <c r="E3" s="267"/>
      <c r="F3" s="267"/>
      <c r="G3" s="267"/>
      <c r="H3" s="267"/>
      <c r="I3" s="267"/>
      <c r="J3" s="267"/>
      <c r="K3" s="269" t="str">
        <f>Biodata!$B$7</f>
        <v>الفصل الدراسي : الثاني</v>
      </c>
      <c r="M3" s="269" t="str">
        <f>Biodata!$B$4</f>
        <v>الصف  : الخامس د للبنين</v>
      </c>
      <c r="N3" s="269"/>
      <c r="O3" s="271" t="str">
        <f>(VLOOKUP($U$8,'Data Siswa'!$A$2:$D$41,4,FALSE))</f>
        <v xml:space="preserve"> </v>
      </c>
      <c r="P3" s="271"/>
      <c r="Q3" s="271"/>
      <c r="R3" s="27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275" t="str">
        <f>Biodata!$B$11</f>
        <v>٢٠٢٥ - ٢٠٢٦ م</v>
      </c>
      <c r="C4" s="275"/>
      <c r="D4" s="268"/>
      <c r="E4" s="268"/>
      <c r="F4" s="268"/>
      <c r="G4" s="268"/>
      <c r="H4" s="268"/>
      <c r="I4" s="268"/>
      <c r="J4" s="268"/>
      <c r="K4" s="270"/>
      <c r="L4" s="109"/>
      <c r="M4" s="270"/>
      <c r="N4" s="270"/>
      <c r="O4" s="272"/>
      <c r="P4" s="272"/>
      <c r="Q4" s="272"/>
      <c r="R4" s="27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252" t="s">
        <v>269</v>
      </c>
      <c r="C6" s="253"/>
      <c r="D6" s="253"/>
      <c r="E6" s="253"/>
      <c r="F6" s="253"/>
      <c r="G6" s="253"/>
      <c r="H6" s="253"/>
      <c r="I6" s="253"/>
      <c r="J6" s="253"/>
      <c r="K6" s="253"/>
      <c r="L6" s="254" t="s">
        <v>0</v>
      </c>
      <c r="M6" s="252" t="s">
        <v>269</v>
      </c>
      <c r="N6" s="253"/>
      <c r="O6" s="253"/>
      <c r="P6" s="253"/>
      <c r="Q6" s="253"/>
      <c r="R6" s="259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261" t="s">
        <v>1</v>
      </c>
      <c r="C7" s="262"/>
      <c r="D7" s="262"/>
      <c r="E7" s="262"/>
      <c r="F7" s="262"/>
      <c r="G7" s="262" t="s">
        <v>2</v>
      </c>
      <c r="H7" s="262"/>
      <c r="I7" s="262"/>
      <c r="J7" s="262"/>
      <c r="K7" s="262"/>
      <c r="L7" s="255"/>
      <c r="M7" s="261" t="s">
        <v>1</v>
      </c>
      <c r="N7" s="262"/>
      <c r="O7" s="262" t="s">
        <v>3</v>
      </c>
      <c r="P7" s="262"/>
      <c r="Q7" s="262"/>
      <c r="R7" s="260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207" t="s">
        <v>5</v>
      </c>
      <c r="D8" s="207"/>
      <c r="E8" s="207"/>
      <c r="F8" s="207"/>
      <c r="G8" s="207"/>
      <c r="H8" s="207"/>
      <c r="I8" s="207"/>
      <c r="J8" s="207"/>
      <c r="K8" s="207"/>
      <c r="L8" s="256"/>
      <c r="M8" s="65" t="s">
        <v>4</v>
      </c>
      <c r="N8" s="32" t="s">
        <v>5</v>
      </c>
      <c r="O8" s="207"/>
      <c r="P8" s="207"/>
      <c r="Q8" s="207"/>
      <c r="R8" s="260"/>
      <c r="S8" s="22"/>
      <c r="T8" s="22"/>
      <c r="U8" s="24">
        <v>22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168" t="s">
        <v>142</v>
      </c>
      <c r="C9" s="169"/>
      <c r="D9" s="169"/>
      <c r="E9" s="169"/>
      <c r="F9" s="169"/>
      <c r="G9" s="169"/>
      <c r="H9" s="169"/>
      <c r="I9" s="169"/>
      <c r="J9" s="169"/>
      <c r="K9" s="169"/>
      <c r="L9" s="169"/>
      <c r="M9" s="87" t="str">
        <f>VLOOKUP(N9,Sheet1!$A$1:$B$93,2)</f>
        <v xml:space="preserve"> </v>
      </c>
      <c r="N9" s="92"/>
      <c r="O9" s="94"/>
      <c r="P9" s="257" t="s">
        <v>100</v>
      </c>
      <c r="Q9" s="258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180">
        <f>VLOOKUP($U$8,'Nilai Syafahi'!$A$4:$Z$43,4,FALSE)</f>
        <v>0</v>
      </c>
      <c r="D10" s="181"/>
      <c r="E10" s="181"/>
      <c r="F10" s="181"/>
      <c r="G10" s="170" t="s">
        <v>144</v>
      </c>
      <c r="H10" s="171"/>
      <c r="I10" s="171"/>
      <c r="J10" s="171"/>
      <c r="K10" s="172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60" t="s">
        <v>101</v>
      </c>
      <c r="Q10" s="161"/>
      <c r="R10" s="61">
        <v>2</v>
      </c>
      <c r="S10" s="22"/>
      <c r="T10" s="22"/>
      <c r="U10" s="246" t="s">
        <v>152</v>
      </c>
      <c r="V10" s="24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55">
        <f>VLOOKUP($U$8,'Nilai Syafahi'!$A$4:$Z$43,5,FALSE)</f>
        <v>0</v>
      </c>
      <c r="D11" s="156"/>
      <c r="E11" s="156"/>
      <c r="F11" s="156"/>
      <c r="G11" s="157"/>
      <c r="H11" s="158"/>
      <c r="I11" s="158"/>
      <c r="J11" s="158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60" t="s">
        <v>102</v>
      </c>
      <c r="Q11" s="161"/>
      <c r="R11" s="61">
        <v>3</v>
      </c>
      <c r="S11" s="22"/>
      <c r="T11" s="22"/>
      <c r="U11" s="247"/>
      <c r="V11" s="24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55">
        <f>VLOOKUP($U$8,'Nilai Syafahi'!$A$4:$Z$43,6,FALSE)</f>
        <v>0</v>
      </c>
      <c r="D12" s="156"/>
      <c r="E12" s="156"/>
      <c r="F12" s="156"/>
      <c r="G12" s="157"/>
      <c r="H12" s="158"/>
      <c r="I12" s="158"/>
      <c r="J12" s="158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60" t="s">
        <v>103</v>
      </c>
      <c r="Q12" s="161"/>
      <c r="R12" s="61">
        <v>4</v>
      </c>
      <c r="S12" s="22"/>
      <c r="T12" s="22"/>
      <c r="U12" s="246" t="s">
        <v>153</v>
      </c>
      <c r="V12" s="25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55">
        <f>VLOOKUP($U$8,'Nilai Syafahi'!$A$4:$Z$43,7,FALSE)</f>
        <v>0</v>
      </c>
      <c r="D13" s="156"/>
      <c r="E13" s="156"/>
      <c r="F13" s="156"/>
      <c r="G13" s="157"/>
      <c r="H13" s="158"/>
      <c r="I13" s="158"/>
      <c r="J13" s="158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60" t="s">
        <v>104</v>
      </c>
      <c r="Q13" s="161"/>
      <c r="R13" s="61">
        <v>5</v>
      </c>
      <c r="S13" s="22"/>
      <c r="T13" s="22"/>
      <c r="U13" s="247"/>
      <c r="V13" s="24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55">
        <f>VLOOKUP($U$8,'Nilai Syafahi'!$A$4:$Z$43,8,FALSE)</f>
        <v>0</v>
      </c>
      <c r="D14" s="156"/>
      <c r="E14" s="156"/>
      <c r="F14" s="156"/>
      <c r="G14" s="157"/>
      <c r="H14" s="158"/>
      <c r="I14" s="158"/>
      <c r="J14" s="158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60" t="s">
        <v>105</v>
      </c>
      <c r="Q14" s="161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55">
        <f>VLOOKUP($U$8,'Nilai Syafahi'!$A$4:$Z$43,9,FALSE)</f>
        <v>0</v>
      </c>
      <c r="D15" s="156"/>
      <c r="E15" s="156"/>
      <c r="F15" s="156"/>
      <c r="G15" s="157"/>
      <c r="H15" s="158"/>
      <c r="I15" s="158"/>
      <c r="J15" s="158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60" t="s">
        <v>106</v>
      </c>
      <c r="Q15" s="161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168" t="s">
        <v>143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88" t="str">
        <f>VLOOKUP(N16,Sheet1!$A$1:$B$93,2)</f>
        <v xml:space="preserve"> </v>
      </c>
      <c r="N16" s="66"/>
      <c r="O16" s="90"/>
      <c r="P16" s="160" t="s">
        <v>107</v>
      </c>
      <c r="Q16" s="161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55">
        <f>VLOOKUP($U$8,'Nilai Syafahi'!$A$4:$Z$43,10,FALSE)</f>
        <v>0</v>
      </c>
      <c r="D17" s="156"/>
      <c r="E17" s="156"/>
      <c r="F17" s="156"/>
      <c r="G17" s="173" t="s">
        <v>66</v>
      </c>
      <c r="H17" s="174"/>
      <c r="I17" s="174"/>
      <c r="J17" s="174"/>
      <c r="K17" s="17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60" t="s">
        <v>108</v>
      </c>
      <c r="Q17" s="161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55">
        <f>VLOOKUP($U$8,'Nilai Syafahi'!$A$4:$Z$43,11,FALSE)</f>
        <v>0</v>
      </c>
      <c r="D18" s="156"/>
      <c r="E18" s="156"/>
      <c r="F18" s="156"/>
      <c r="G18" s="173" t="s">
        <v>180</v>
      </c>
      <c r="H18" s="174" t="s">
        <v>180</v>
      </c>
      <c r="I18" s="174" t="s">
        <v>180</v>
      </c>
      <c r="J18" s="174" t="s">
        <v>180</v>
      </c>
      <c r="K18" s="17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60" t="s">
        <v>109</v>
      </c>
      <c r="Q18" s="161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55">
        <f>VLOOKUP($U$8,'Nilai Syafahi'!$A$4:$Z$43,12,FALSE)</f>
        <v>0</v>
      </c>
      <c r="D19" s="156"/>
      <c r="E19" s="156"/>
      <c r="F19" s="156"/>
      <c r="G19" s="173" t="s">
        <v>88</v>
      </c>
      <c r="H19" s="174"/>
      <c r="I19" s="174"/>
      <c r="J19" s="174"/>
      <c r="K19" s="17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60" t="s">
        <v>110</v>
      </c>
      <c r="Q19" s="161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55">
        <f>VLOOKUP($U$8,'Nilai Syafahi'!$A$4:$Z$43,13,FALSE)</f>
        <v>0</v>
      </c>
      <c r="D20" s="156"/>
      <c r="E20" s="156"/>
      <c r="F20" s="156"/>
      <c r="G20" s="173" t="s">
        <v>268</v>
      </c>
      <c r="H20" s="174"/>
      <c r="I20" s="174"/>
      <c r="J20" s="174"/>
      <c r="K20" s="17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60" t="s">
        <v>111</v>
      </c>
      <c r="Q20" s="161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55">
        <f>VLOOKUP($U$8,'Nilai Syafahi'!$A$4:$Z$43,14,FALSE)</f>
        <v>0</v>
      </c>
      <c r="D21" s="156"/>
      <c r="E21" s="156"/>
      <c r="F21" s="156"/>
      <c r="G21" s="173" t="s">
        <v>89</v>
      </c>
      <c r="H21" s="174"/>
      <c r="I21" s="174"/>
      <c r="J21" s="174"/>
      <c r="K21" s="17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60" t="s">
        <v>112</v>
      </c>
      <c r="Q21" s="161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263" t="s">
        <v>140</v>
      </c>
      <c r="C22" s="264"/>
      <c r="D22" s="264"/>
      <c r="E22" s="264"/>
      <c r="F22" s="264"/>
      <c r="G22" s="264"/>
      <c r="H22" s="264"/>
      <c r="I22" s="264"/>
      <c r="J22" s="264"/>
      <c r="K22" s="264"/>
      <c r="L22" s="264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60" t="s">
        <v>10</v>
      </c>
      <c r="Q22" s="161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65">
        <f>VLOOKUP($U$8,'Nilai Syafahi'!$A$4:$Z$43,15,FALSE)</f>
        <v>0</v>
      </c>
      <c r="D23" s="165"/>
      <c r="E23" s="165"/>
      <c r="F23" s="165"/>
      <c r="G23" s="244" t="s">
        <v>182</v>
      </c>
      <c r="H23" s="245"/>
      <c r="I23" s="245"/>
      <c r="J23" s="245"/>
      <c r="K23" s="245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60" t="s">
        <v>12</v>
      </c>
      <c r="Q23" s="161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65">
        <f>VLOOKUP($U$8,'Nilai Syafahi'!$A$4:$Z$43,16,FALSE)</f>
        <v>0</v>
      </c>
      <c r="D24" s="165"/>
      <c r="E24" s="165"/>
      <c r="F24" s="165"/>
      <c r="G24" s="159" t="s">
        <v>181</v>
      </c>
      <c r="H24" s="160"/>
      <c r="I24" s="160"/>
      <c r="J24" s="160"/>
      <c r="K24" s="160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60" t="s">
        <v>113</v>
      </c>
      <c r="Q24" s="161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65">
        <f>VLOOKUP($U$8,'Nilai Syafahi'!$A$4:$Z$43,17,FALSE)</f>
        <v>0</v>
      </c>
      <c r="D25" s="165"/>
      <c r="E25" s="165"/>
      <c r="F25" s="165"/>
      <c r="G25" s="159" t="s">
        <v>16</v>
      </c>
      <c r="H25" s="160"/>
      <c r="I25" s="160"/>
      <c r="J25" s="160"/>
      <c r="K25" s="160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60" t="s">
        <v>114</v>
      </c>
      <c r="Q25" s="161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65">
        <f>VLOOKUP($U$8,'Nilai Syafahi'!$A$4:$Z$43,18,FALSE)</f>
        <v>0</v>
      </c>
      <c r="D26" s="165"/>
      <c r="E26" s="165"/>
      <c r="F26" s="165"/>
      <c r="G26" s="159" t="s">
        <v>104</v>
      </c>
      <c r="H26" s="160"/>
      <c r="I26" s="160"/>
      <c r="J26" s="160"/>
      <c r="K26" s="160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60" t="s">
        <v>115</v>
      </c>
      <c r="Q26" s="161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65"/>
      <c r="D27" s="165"/>
      <c r="E27" s="165"/>
      <c r="F27" s="165"/>
      <c r="G27" s="166" t="s">
        <v>183</v>
      </c>
      <c r="H27" s="167"/>
      <c r="I27" s="167"/>
      <c r="J27" s="167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60" t="s">
        <v>116</v>
      </c>
      <c r="Q27" s="161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193">
        <f>VLOOKUP($U$8,'Nilai Syafahi'!$A$4:$Z$43,19,FALSE)</f>
        <v>0</v>
      </c>
      <c r="D28" s="193"/>
      <c r="E28" s="193"/>
      <c r="F28" s="193"/>
      <c r="G28" s="159" t="s">
        <v>19</v>
      </c>
      <c r="H28" s="160"/>
      <c r="I28" s="160"/>
      <c r="J28" s="160"/>
      <c r="K28" s="160"/>
      <c r="L28" s="85">
        <v>56</v>
      </c>
      <c r="M28" s="88" t="str">
        <f>VLOOKUP(N28,Sheet1!$A$1:$B$93,2)</f>
        <v xml:space="preserve"> </v>
      </c>
      <c r="N28" s="66"/>
      <c r="O28" s="90"/>
      <c r="P28" s="160" t="s">
        <v>117</v>
      </c>
      <c r="Q28" s="161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168" t="s">
        <v>141</v>
      </c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60" t="s">
        <v>118</v>
      </c>
      <c r="Q29" s="161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65"/>
      <c r="D30" s="165"/>
      <c r="E30" s="165"/>
      <c r="F30" s="165"/>
      <c r="G30" s="170" t="s">
        <v>21</v>
      </c>
      <c r="H30" s="171"/>
      <c r="I30" s="171"/>
      <c r="J30" s="171"/>
      <c r="K30" s="172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60" t="s">
        <v>119</v>
      </c>
      <c r="Q30" s="161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65"/>
      <c r="D31" s="165"/>
      <c r="E31" s="165"/>
      <c r="F31" s="165"/>
      <c r="G31" s="159" t="s">
        <v>22</v>
      </c>
      <c r="H31" s="160"/>
      <c r="I31" s="160"/>
      <c r="J31" s="160"/>
      <c r="K31" s="161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60" t="s">
        <v>120</v>
      </c>
      <c r="Q31" s="161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190"/>
      <c r="D32" s="190"/>
      <c r="E32" s="190"/>
      <c r="F32" s="190"/>
      <c r="G32" s="159" t="s">
        <v>24</v>
      </c>
      <c r="H32" s="160"/>
      <c r="I32" s="160"/>
      <c r="J32" s="160"/>
      <c r="K32" s="161"/>
      <c r="L32" s="86">
        <v>59</v>
      </c>
      <c r="M32" s="88" t="str">
        <f>VLOOKUP(N32,Sheet1!$A$1:$B$93,2)</f>
        <v xml:space="preserve"> </v>
      </c>
      <c r="N32" s="66"/>
      <c r="O32" s="90"/>
      <c r="P32" s="160" t="s">
        <v>28</v>
      </c>
      <c r="Q32" s="161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190"/>
      <c r="D33" s="190"/>
      <c r="E33" s="190"/>
      <c r="F33" s="190"/>
      <c r="G33" s="162" t="s">
        <v>25</v>
      </c>
      <c r="H33" s="163"/>
      <c r="I33" s="163"/>
      <c r="J33" s="163"/>
      <c r="K33" s="164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60" t="s">
        <v>121</v>
      </c>
      <c r="Q33" s="161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197">
        <f>VLOOKUP($U$8,'Nilai Syafahi'!$A$4:$Z$43,20,FALSE)</f>
        <v>0</v>
      </c>
      <c r="C34" s="198"/>
      <c r="D34" s="198"/>
      <c r="E34" s="198"/>
      <c r="F34" s="198"/>
      <c r="G34" s="198"/>
      <c r="H34" s="198"/>
      <c r="I34" s="198"/>
      <c r="J34" s="198"/>
      <c r="K34" s="199" t="s">
        <v>27</v>
      </c>
      <c r="L34" s="200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60" t="s">
        <v>122</v>
      </c>
      <c r="Q34" s="161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11"/>
      <c r="C35" s="212"/>
      <c r="D35" s="212"/>
      <c r="E35" s="212"/>
      <c r="F35" s="212"/>
      <c r="G35" s="212"/>
      <c r="H35" s="212"/>
      <c r="I35" s="212"/>
      <c r="J35" s="212"/>
      <c r="K35" s="213"/>
      <c r="L35" s="219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60" t="s">
        <v>123</v>
      </c>
      <c r="Q35" s="161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194" t="s">
        <v>31</v>
      </c>
      <c r="C36" s="195"/>
      <c r="D36" s="195"/>
      <c r="E36" s="195"/>
      <c r="F36" s="195"/>
      <c r="G36" s="195"/>
      <c r="H36" s="195"/>
      <c r="I36" s="195"/>
      <c r="J36" s="195"/>
      <c r="K36" s="196"/>
      <c r="L36" s="220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60" t="s">
        <v>124</v>
      </c>
      <c r="Q36" s="161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23" t="s">
        <v>32</v>
      </c>
      <c r="C37" s="224"/>
      <c r="D37" s="224" t="s">
        <v>33</v>
      </c>
      <c r="E37" s="224"/>
      <c r="F37" s="224"/>
      <c r="G37" s="224"/>
      <c r="H37" s="224"/>
      <c r="I37" s="224"/>
      <c r="J37" s="224"/>
      <c r="K37" s="35" t="s">
        <v>34</v>
      </c>
      <c r="L37" s="220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60" t="s">
        <v>125</v>
      </c>
      <c r="Q37" s="161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01">
        <f>VLOOKUP($U$8,Akhlak!$A$4:$J$43,6,FALSE)</f>
        <v>0</v>
      </c>
      <c r="C38" s="202"/>
      <c r="D38" s="202">
        <f>VLOOKUP($U$8,Akhlak!$A$4:$J$43,5,FALSE)</f>
        <v>0</v>
      </c>
      <c r="E38" s="202"/>
      <c r="F38" s="202"/>
      <c r="G38" s="202"/>
      <c r="H38" s="202"/>
      <c r="I38" s="202"/>
      <c r="J38" s="202"/>
      <c r="K38" s="36">
        <f>VLOOKUP($U$8,Akhlak!$A$4:$J$43,4,FALSE)</f>
        <v>0</v>
      </c>
      <c r="L38" s="220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60" t="s">
        <v>126</v>
      </c>
      <c r="Q38" s="161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25" t="s">
        <v>35</v>
      </c>
      <c r="C39" s="226"/>
      <c r="D39" s="226"/>
      <c r="E39" s="226"/>
      <c r="F39" s="226"/>
      <c r="G39" s="226"/>
      <c r="H39" s="226"/>
      <c r="I39" s="226"/>
      <c r="J39" s="226"/>
      <c r="K39" s="227"/>
      <c r="L39" s="220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60" t="s">
        <v>127</v>
      </c>
      <c r="Q39" s="161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28" t="s">
        <v>37</v>
      </c>
      <c r="C40" s="229"/>
      <c r="D40" s="229" t="s">
        <v>38</v>
      </c>
      <c r="E40" s="229"/>
      <c r="F40" s="229"/>
      <c r="G40" s="229"/>
      <c r="H40" s="229"/>
      <c r="I40" s="229"/>
      <c r="J40" s="229"/>
      <c r="K40" s="35" t="s">
        <v>39</v>
      </c>
      <c r="L40" s="220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60" t="s">
        <v>128</v>
      </c>
      <c r="Q40" s="161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191">
        <f>VLOOKUP($U$8,Akhlak!$A$4:$J$43,9,FALSE)</f>
        <v>0</v>
      </c>
      <c r="C41" s="192"/>
      <c r="D41" s="192">
        <f>VLOOKUP($U$8,Akhlak!$A$4:$J$43,8,FALSE)</f>
        <v>0</v>
      </c>
      <c r="E41" s="192"/>
      <c r="F41" s="192"/>
      <c r="G41" s="192"/>
      <c r="H41" s="192"/>
      <c r="I41" s="192"/>
      <c r="J41" s="192"/>
      <c r="K41" s="36">
        <f>VLOOKUP($U$8,Akhlak!$A$4:$J$43,7,FALSE)</f>
        <v>0</v>
      </c>
      <c r="L41" s="220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60" t="s">
        <v>129</v>
      </c>
      <c r="Q41" s="161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188" t="s">
        <v>41</v>
      </c>
      <c r="C42" s="189"/>
      <c r="D42" s="230" t="s">
        <v>42</v>
      </c>
      <c r="E42" s="230"/>
      <c r="F42" s="230"/>
      <c r="G42" s="230"/>
      <c r="H42" s="230"/>
      <c r="I42" s="230"/>
      <c r="J42" s="230"/>
      <c r="K42" s="231"/>
      <c r="L42" s="221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60" t="s">
        <v>130</v>
      </c>
      <c r="Q42" s="161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40">
        <f ca="1">VLOOKUP($U$8,'Nilai Syafahi'!$A$4:$Z$43,25,FALSE)</f>
        <v>1</v>
      </c>
      <c r="C43" s="241"/>
      <c r="D43" s="234" t="e">
        <f>VLOOKUP($U$8,'Nilai Syafahi'!$A$4:$Z$43,24,FALSE)</f>
        <v>#DIV/0!</v>
      </c>
      <c r="E43" s="235"/>
      <c r="F43" s="235"/>
      <c r="G43" s="235"/>
      <c r="H43" s="235"/>
      <c r="I43" s="235"/>
      <c r="J43" s="236"/>
      <c r="K43" s="232">
        <f>VLOOKUP($U$8,'Nilai Syafahi'!$A$4:$Z$43,23,FALSE)</f>
        <v>0</v>
      </c>
      <c r="L43" s="220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60" t="s">
        <v>131</v>
      </c>
      <c r="Q43" s="161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42"/>
      <c r="C44" s="243"/>
      <c r="D44" s="237"/>
      <c r="E44" s="238"/>
      <c r="F44" s="238"/>
      <c r="G44" s="238"/>
      <c r="H44" s="238"/>
      <c r="I44" s="238"/>
      <c r="J44" s="239"/>
      <c r="K44" s="233"/>
      <c r="L44" s="220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60" t="s">
        <v>132</v>
      </c>
      <c r="Q44" s="161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09" t="s">
        <v>45</v>
      </c>
      <c r="C45" s="210"/>
      <c r="D45" s="210"/>
      <c r="E45" s="210"/>
      <c r="F45" s="210"/>
      <c r="G45" s="210"/>
      <c r="H45" s="210"/>
      <c r="I45" s="210"/>
      <c r="J45" s="210"/>
      <c r="K45" s="210"/>
      <c r="L45" s="220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60" t="s">
        <v>133</v>
      </c>
      <c r="Q45" s="161"/>
      <c r="R45" s="61">
        <v>37</v>
      </c>
      <c r="S45" s="19"/>
      <c r="T45" s="19"/>
      <c r="U45" s="19"/>
      <c r="V45" s="186"/>
      <c r="W45" s="186"/>
      <c r="X45" s="186"/>
      <c r="Y45" s="19"/>
      <c r="Z45" s="19"/>
      <c r="AA45" s="19"/>
      <c r="AB45" s="19"/>
    </row>
    <row r="46" spans="2:28" ht="15.6" customHeight="1" x14ac:dyDescent="0.3">
      <c r="B46" s="203" t="str">
        <f>VLOOKUP($U$8,Akhlak!$A$4:$J$43,10,FALSE)</f>
        <v xml:space="preserve"> </v>
      </c>
      <c r="C46" s="204"/>
      <c r="D46" s="204"/>
      <c r="E46" s="204"/>
      <c r="F46" s="204"/>
      <c r="G46" s="204"/>
      <c r="H46" s="204"/>
      <c r="I46" s="204"/>
      <c r="J46" s="204"/>
      <c r="K46" s="205"/>
      <c r="L46" s="220"/>
      <c r="M46" s="88" t="str">
        <f>VLOOKUP(N46,Sheet1!$A$1:$B$93,2)</f>
        <v xml:space="preserve"> </v>
      </c>
      <c r="N46" s="66"/>
      <c r="O46" s="95" t="s">
        <v>48</v>
      </c>
      <c r="P46" s="160" t="s">
        <v>134</v>
      </c>
      <c r="Q46" s="161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06"/>
      <c r="C47" s="207"/>
      <c r="D47" s="207"/>
      <c r="E47" s="207"/>
      <c r="F47" s="207"/>
      <c r="G47" s="207"/>
      <c r="H47" s="207"/>
      <c r="I47" s="207"/>
      <c r="J47" s="207"/>
      <c r="K47" s="208"/>
      <c r="L47" s="220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60" t="s">
        <v>53</v>
      </c>
      <c r="Q47" s="161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182" t="e">
        <f>VLOOKUP($U$8,'Nilai Syafahi'!$A$4:$Z$43,26,FALSE)</f>
        <v>#DIV/0!</v>
      </c>
      <c r="C48" s="183"/>
      <c r="D48" s="183"/>
      <c r="E48" s="183"/>
      <c r="F48" s="183"/>
      <c r="G48" s="183"/>
      <c r="H48" s="183"/>
      <c r="I48" s="183"/>
      <c r="J48" s="183"/>
      <c r="K48" s="76" t="s">
        <v>184</v>
      </c>
      <c r="L48" s="222"/>
      <c r="M48" s="184">
        <f>VLOOKUP($U$8,'Nilai Tahriri'!$A$2:$AK$41,37,FALSE)</f>
        <v>0</v>
      </c>
      <c r="N48" s="185" t="e">
        <f>VLOOKUP($U$8,'Nilai Tahriri'!$A$2:$AK$41,41,FALSE)</f>
        <v>#REF!</v>
      </c>
      <c r="O48" s="185" t="e">
        <f>VLOOKUP($U$8,'Nilai Tahriri'!$A$2:$AK$41,41,FALSE)</f>
        <v>#REF!</v>
      </c>
      <c r="P48" s="215" t="s">
        <v>27</v>
      </c>
      <c r="Q48" s="215"/>
      <c r="R48" s="216"/>
      <c r="S48" s="19"/>
      <c r="T48" s="19"/>
      <c r="U48" s="19"/>
      <c r="V48" s="19"/>
      <c r="W48" s="19"/>
      <c r="X48" s="19"/>
      <c r="Y48" s="19"/>
      <c r="Z48" s="187"/>
      <c r="AA48" s="187"/>
      <c r="AB48" s="187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17"/>
      <c r="D50" s="217"/>
      <c r="E50" s="217"/>
      <c r="F50" s="217"/>
      <c r="G50" s="217"/>
      <c r="H50" s="217"/>
      <c r="I50" s="217"/>
      <c r="J50" s="217"/>
      <c r="K50" s="217"/>
      <c r="L50" s="44"/>
      <c r="M50" s="214" t="str">
        <f>Biodata!$C$13</f>
        <v>١٩ من محرم سنة ١٤٤٨ ه</v>
      </c>
      <c r="N50" s="214"/>
      <c r="O50" s="214"/>
      <c r="P50" s="214"/>
      <c r="Q50" s="218" t="s">
        <v>49</v>
      </c>
      <c r="R50" s="218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17"/>
      <c r="D51" s="217"/>
      <c r="E51" s="217"/>
      <c r="F51" s="217"/>
      <c r="G51" s="217"/>
      <c r="H51" s="217"/>
      <c r="I51" s="217"/>
      <c r="J51" s="217"/>
      <c r="K51" s="217"/>
      <c r="L51" s="44"/>
      <c r="M51" s="214" t="str">
        <f>Biodata!$C$14</f>
        <v>٤٠ من يوليو سنة ٢٠٢٦ م</v>
      </c>
      <c r="N51" s="214"/>
      <c r="O51" s="214"/>
      <c r="P51" s="214"/>
      <c r="Q51" s="218"/>
      <c r="R51" s="218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178" t="s">
        <v>51</v>
      </c>
      <c r="C53" s="178"/>
      <c r="D53" s="178"/>
      <c r="E53" s="178"/>
      <c r="F53" s="178"/>
      <c r="G53" s="178"/>
      <c r="H53" s="178"/>
      <c r="I53" s="178"/>
      <c r="J53" s="178"/>
      <c r="K53" s="178"/>
      <c r="L53" s="44"/>
      <c r="M53" s="43"/>
      <c r="N53" s="48"/>
      <c r="O53" s="177" t="s">
        <v>52</v>
      </c>
      <c r="P53" s="177"/>
      <c r="Q53" s="177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251" t="s">
        <v>161</v>
      </c>
      <c r="L54" s="251"/>
      <c r="M54" s="251"/>
      <c r="N54" s="251"/>
      <c r="O54" s="25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9">
        <f>Biodata!$C$19</f>
        <v>0</v>
      </c>
      <c r="P56" s="179"/>
      <c r="Q56" s="179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176" t="str">
        <f>Biodata!$C$16</f>
        <v>الأستاذ الحاج أحمد مهيمن الماجستير</v>
      </c>
      <c r="L58" s="176"/>
      <c r="M58" s="176"/>
      <c r="N58" s="176"/>
      <c r="O58" s="176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JzPQH9bNM8ozDbgAmZ1R/RDgviBe547yT6FBWOvoFvmSKvyZFtIay3KBLy2MOX5SkalXZmYazEfW9I2hXcaadQ==" saltValue="XY9s+N6Dqdf1fAspPZfPVA==" spinCount="100000" sheet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د للبنين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MUHAMAD FARIS MUBASYIR</v>
      </c>
      <c r="C6" s="6" t="str">
        <f>'Data Siswa'!C12</f>
        <v>395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OGLINT KIANO</v>
      </c>
      <c r="C7" s="6" t="str">
        <f>'Data Siswa'!C21</f>
        <v>404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FIRDAN GANI</v>
      </c>
      <c r="C8" s="6" t="str">
        <f>'Data Siswa'!C6</f>
        <v>389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DIMAS PRASETYO</v>
      </c>
      <c r="C9" s="6" t="str">
        <f>'Data Siswa'!C5</f>
        <v>388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DEDY MULYANA</v>
      </c>
      <c r="C10" s="6" t="str">
        <f>'Data Siswa'!C4</f>
        <v>387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AHMAT REHAN MUHALIM</v>
      </c>
      <c r="C11" s="6" t="str">
        <f>'Data Siswa'!C3</f>
        <v>386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MUHAMMAD FAIS AL FARIZI</v>
      </c>
      <c r="C12" s="6" t="str">
        <f>'Data Siswa'!C13</f>
        <v>396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HERDIYANSYAH</v>
      </c>
      <c r="C13" s="6" t="str">
        <f>'Data Siswa'!C7</f>
        <v>390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 t="str">
        <f>'Data Siswa'!B23</f>
        <v>PUTRA BATARA</v>
      </c>
      <c r="C14" s="6" t="str">
        <f>'Data Siswa'!C23</f>
        <v>406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 t="str">
        <f>'Data Siswa'!B24</f>
        <v>ROLANSYAH ABDELLAH PUTRA</v>
      </c>
      <c r="C15" s="6" t="str">
        <f>'Data Siswa'!C24</f>
        <v>407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MUHAMMAD FIKRI HAERUDIN</v>
      </c>
      <c r="C16" s="6" t="str">
        <f>'Data Siswa'!C15</f>
        <v>398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MUHAMMAD ARIYANSYAH</v>
      </c>
      <c r="C17" s="6" t="str">
        <f>'Data Siswa'!C11</f>
        <v>394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MUHAMMAD RIKI</v>
      </c>
      <c r="C18" s="6" t="str">
        <f>'Data Siswa'!C19</f>
        <v>402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MUHAMMAD RAHIL RIZKY</v>
      </c>
      <c r="C19" s="6" t="str">
        <f>'Data Siswa'!C17</f>
        <v>400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A. FARID FAUZAN</v>
      </c>
      <c r="C20" s="6" t="str">
        <f>'Data Siswa'!C2</f>
        <v>385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MUHAMMAD IKBAL TAUFIKUR ROHMAN</v>
      </c>
      <c r="C21" s="6" t="str">
        <f>'Data Siswa'!C16</f>
        <v>399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MUHAMAD ADLI FAUZAN</v>
      </c>
      <c r="C22" s="6" t="str">
        <f>'Data Siswa'!C9</f>
        <v>392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MUHAMAD ARIFIN JAYA NEGARA</v>
      </c>
      <c r="C23" s="6" t="str">
        <f>'Data Siswa'!C10</f>
        <v>393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NABEEL PASHA ADLI ALFATHI</v>
      </c>
      <c r="C24" s="6" t="str">
        <f>'Data Siswa'!C20</f>
        <v>403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 t="str">
        <f>'Data Siswa'!B22</f>
        <v>PRAYOGA FIRMANZAH</v>
      </c>
      <c r="C25" s="6" t="str">
        <f>'Data Siswa'!C22</f>
        <v>405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MUHAMMAD FAREL</v>
      </c>
      <c r="C26" s="6" t="str">
        <f>'Data Siswa'!C14</f>
        <v>397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MUHAMMAD RIDWAN FIRDAUS</v>
      </c>
      <c r="C27" s="6" t="str">
        <f>'Data Siswa'!C18</f>
        <v>401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 t="str">
        <f>'Data Siswa'!B25</f>
        <v>SALMAN FAWAZ</v>
      </c>
      <c r="C28" s="6" t="str">
        <f>'Data Siswa'!C25</f>
        <v>408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M RAYHAN ASWARDI NASUTION</v>
      </c>
      <c r="C29" s="6" t="str">
        <f>'Data Siswa'!C8</f>
        <v>391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2026-06-08T14:24:39Z</cp:lastPrinted>
  <dcterms:created xsi:type="dcterms:W3CDTF">2019-11-28T05:18:02Z</dcterms:created>
  <dcterms:modified xsi:type="dcterms:W3CDTF">2026-06-08T15:05:42Z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