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5AEDDCC0-1602-400F-89F5-948AFAA1CB7B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Tahriri'!$B$2:$AG$27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0" l="1"/>
  <c r="B35" i="10"/>
  <c r="C35" i="10"/>
  <c r="B33" i="10"/>
  <c r="C33" i="10"/>
  <c r="B22" i="10"/>
  <c r="C22" i="10"/>
  <c r="B32" i="10"/>
  <c r="C32" i="10"/>
  <c r="B15" i="10"/>
  <c r="C15" i="10"/>
  <c r="B9" i="10"/>
  <c r="C9" i="10"/>
  <c r="B28" i="10"/>
  <c r="C28" i="10"/>
  <c r="B23" i="10"/>
  <c r="C23" i="10"/>
  <c r="B24" i="10"/>
  <c r="C24" i="10"/>
  <c r="B30" i="10"/>
  <c r="C30" i="10"/>
  <c r="B16" i="10"/>
  <c r="C16" i="10"/>
  <c r="B11" i="10"/>
  <c r="C11" i="10"/>
  <c r="B20" i="10"/>
  <c r="C20" i="10"/>
  <c r="B25" i="10"/>
  <c r="C25" i="10"/>
  <c r="B29" i="10"/>
  <c r="C29" i="10"/>
  <c r="B18" i="10"/>
  <c r="C18" i="10"/>
  <c r="B13" i="10"/>
  <c r="C13" i="10"/>
  <c r="B27" i="10"/>
  <c r="C27" i="10"/>
  <c r="B19" i="10"/>
  <c r="C19" i="10"/>
  <c r="B34" i="10"/>
  <c r="C34" i="10"/>
  <c r="B17" i="10"/>
  <c r="C17" i="10"/>
  <c r="B8" i="10"/>
  <c r="C8" i="10"/>
  <c r="B26" i="10"/>
  <c r="C26" i="10"/>
  <c r="B21" i="10"/>
  <c r="C21" i="10"/>
  <c r="B7" i="10"/>
  <c r="C7" i="10"/>
  <c r="B10" i="10"/>
  <c r="C10" i="10"/>
  <c r="B12" i="10"/>
  <c r="C12" i="10"/>
  <c r="B6" i="10"/>
  <c r="C6" i="10"/>
  <c r="B14" i="10"/>
  <c r="C14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31" i="10"/>
  <c r="C31" i="10"/>
  <c r="A3" i="10"/>
  <c r="K57" i="7"/>
  <c r="O55" i="7"/>
  <c r="M50" i="7"/>
  <c r="M49" i="7"/>
  <c r="M46" i="7"/>
  <c r="M45" i="7"/>
  <c r="M42" i="7"/>
  <c r="M41" i="7"/>
  <c r="M40" i="7"/>
  <c r="B32" i="7"/>
  <c r="M31" i="7"/>
  <c r="B31" i="7"/>
  <c r="B30" i="7"/>
  <c r="M27" i="7"/>
  <c r="M26" i="7"/>
  <c r="B26" i="7"/>
  <c r="M17" i="7"/>
  <c r="M15" i="7"/>
  <c r="M14" i="7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5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14" i="10" s="1"/>
  <c r="U33" i="5"/>
  <c r="T33" i="5"/>
  <c r="C33" i="5"/>
  <c r="B33" i="5"/>
  <c r="A33" i="5"/>
  <c r="X32" i="5"/>
  <c r="G6" i="10" s="1"/>
  <c r="U32" i="5"/>
  <c r="T32" i="5"/>
  <c r="C32" i="5"/>
  <c r="B32" i="5"/>
  <c r="A32" i="5"/>
  <c r="X31" i="5"/>
  <c r="E12" i="10" s="1"/>
  <c r="U31" i="5"/>
  <c r="T31" i="5"/>
  <c r="C31" i="5"/>
  <c r="B31" i="5"/>
  <c r="A31" i="5"/>
  <c r="X30" i="5"/>
  <c r="E10" i="10" s="1"/>
  <c r="U30" i="5"/>
  <c r="T30" i="5"/>
  <c r="C30" i="5"/>
  <c r="B30" i="5"/>
  <c r="A30" i="5"/>
  <c r="X29" i="5"/>
  <c r="G7" i="10" s="1"/>
  <c r="U29" i="5"/>
  <c r="T29" i="5"/>
  <c r="C29" i="5"/>
  <c r="B29" i="5"/>
  <c r="A29" i="5"/>
  <c r="X28" i="5"/>
  <c r="G21" i="10" s="1"/>
  <c r="U28" i="5"/>
  <c r="T28" i="5"/>
  <c r="C28" i="5"/>
  <c r="B28" i="5"/>
  <c r="A28" i="5"/>
  <c r="X27" i="5"/>
  <c r="E26" i="10" s="1"/>
  <c r="U27" i="5"/>
  <c r="T27" i="5"/>
  <c r="C27" i="5"/>
  <c r="B27" i="5"/>
  <c r="A27" i="5"/>
  <c r="X26" i="5"/>
  <c r="E8" i="10" s="1"/>
  <c r="U26" i="5"/>
  <c r="T26" i="5"/>
  <c r="C26" i="5"/>
  <c r="B26" i="5"/>
  <c r="A26" i="5"/>
  <c r="X25" i="5"/>
  <c r="G17" i="10" s="1"/>
  <c r="U25" i="5"/>
  <c r="T25" i="5"/>
  <c r="C25" i="5"/>
  <c r="B25" i="5"/>
  <c r="A25" i="5"/>
  <c r="X24" i="5"/>
  <c r="G34" i="10" s="1"/>
  <c r="U24" i="5"/>
  <c r="T24" i="5"/>
  <c r="C24" i="5"/>
  <c r="B24" i="5"/>
  <c r="A24" i="5"/>
  <c r="X23" i="5"/>
  <c r="E19" i="10" s="1"/>
  <c r="U23" i="5"/>
  <c r="T23" i="5"/>
  <c r="C23" i="5"/>
  <c r="B23" i="5"/>
  <c r="A23" i="5"/>
  <c r="X22" i="5"/>
  <c r="E27" i="10" s="1"/>
  <c r="U22" i="5"/>
  <c r="T22" i="5"/>
  <c r="C22" i="5"/>
  <c r="B22" i="5"/>
  <c r="A22" i="5"/>
  <c r="X21" i="5"/>
  <c r="E13" i="10" s="1"/>
  <c r="U21" i="5"/>
  <c r="T21" i="5"/>
  <c r="C21" i="5"/>
  <c r="B21" i="5"/>
  <c r="A21" i="5"/>
  <c r="X20" i="5"/>
  <c r="G18" i="10" s="1"/>
  <c r="U20" i="5"/>
  <c r="T20" i="5"/>
  <c r="C20" i="5"/>
  <c r="B20" i="5"/>
  <c r="A20" i="5"/>
  <c r="X19" i="5"/>
  <c r="E29" i="10" s="1"/>
  <c r="U19" i="5"/>
  <c r="T19" i="5"/>
  <c r="C19" i="5"/>
  <c r="B19" i="5"/>
  <c r="A19" i="5"/>
  <c r="X18" i="5"/>
  <c r="E25" i="10" s="1"/>
  <c r="U18" i="5"/>
  <c r="T18" i="5"/>
  <c r="C18" i="5"/>
  <c r="B18" i="5"/>
  <c r="A18" i="5"/>
  <c r="X17" i="5"/>
  <c r="E20" i="10" s="1"/>
  <c r="U17" i="5"/>
  <c r="T17" i="5"/>
  <c r="C17" i="5"/>
  <c r="B17" i="5"/>
  <c r="A17" i="5"/>
  <c r="X16" i="5"/>
  <c r="G11" i="10" s="1"/>
  <c r="U16" i="5"/>
  <c r="T16" i="5"/>
  <c r="C16" i="5"/>
  <c r="B16" i="5"/>
  <c r="A16" i="5"/>
  <c r="X15" i="5"/>
  <c r="E16" i="10" s="1"/>
  <c r="U15" i="5"/>
  <c r="T15" i="5"/>
  <c r="C15" i="5"/>
  <c r="B15" i="5"/>
  <c r="A15" i="5"/>
  <c r="X14" i="5"/>
  <c r="E30" i="10" s="1"/>
  <c r="U14" i="5"/>
  <c r="T14" i="5"/>
  <c r="C14" i="5"/>
  <c r="B14" i="5"/>
  <c r="A14" i="5"/>
  <c r="X13" i="5"/>
  <c r="E24" i="10" s="1"/>
  <c r="U13" i="5"/>
  <c r="T13" i="5"/>
  <c r="C13" i="5"/>
  <c r="B13" i="5"/>
  <c r="A13" i="5"/>
  <c r="X12" i="5"/>
  <c r="G23" i="10" s="1"/>
  <c r="U12" i="5"/>
  <c r="T12" i="5"/>
  <c r="C12" i="5"/>
  <c r="B12" i="5"/>
  <c r="A12" i="5"/>
  <c r="X11" i="5"/>
  <c r="E28" i="10" s="1"/>
  <c r="U11" i="5"/>
  <c r="T11" i="5"/>
  <c r="C11" i="5"/>
  <c r="B11" i="5"/>
  <c r="A11" i="5"/>
  <c r="X10" i="5"/>
  <c r="E9" i="10" s="1"/>
  <c r="U10" i="5"/>
  <c r="T10" i="5"/>
  <c r="C10" i="5"/>
  <c r="B10" i="5"/>
  <c r="A10" i="5"/>
  <c r="X9" i="5"/>
  <c r="G15" i="10" s="1"/>
  <c r="U9" i="5"/>
  <c r="T9" i="5"/>
  <c r="C9" i="5"/>
  <c r="B9" i="5"/>
  <c r="A9" i="5"/>
  <c r="X8" i="5"/>
  <c r="G32" i="10" s="1"/>
  <c r="U8" i="5"/>
  <c r="T8" i="5"/>
  <c r="C8" i="5"/>
  <c r="B8" i="5"/>
  <c r="A8" i="5"/>
  <c r="X7" i="5"/>
  <c r="E22" i="10" s="1"/>
  <c r="U7" i="5"/>
  <c r="T7" i="5"/>
  <c r="C7" i="5"/>
  <c r="B7" i="5"/>
  <c r="A7" i="5"/>
  <c r="X6" i="5"/>
  <c r="E33" i="10" s="1"/>
  <c r="U6" i="5"/>
  <c r="T6" i="5"/>
  <c r="C6" i="5"/>
  <c r="B6" i="5"/>
  <c r="A6" i="5"/>
  <c r="X5" i="5"/>
  <c r="E35" i="10" s="1"/>
  <c r="U5" i="5"/>
  <c r="T5" i="5"/>
  <c r="C5" i="5"/>
  <c r="B5" i="5"/>
  <c r="A5" i="5"/>
  <c r="X4" i="5"/>
  <c r="G31" i="10" s="1"/>
  <c r="U4" i="5"/>
  <c r="T4" i="5"/>
  <c r="C4" i="5"/>
  <c r="B4" i="5"/>
  <c r="A4" i="5"/>
  <c r="C27" i="7" s="1"/>
  <c r="B27" i="7" s="1"/>
  <c r="AH41" i="4"/>
  <c r="AG41" i="4"/>
  <c r="W43" i="5" s="1"/>
  <c r="D45" i="10" s="1"/>
  <c r="C41" i="4"/>
  <c r="B41" i="4"/>
  <c r="A41" i="4"/>
  <c r="AH40" i="4"/>
  <c r="AG40" i="4"/>
  <c r="C40" i="4"/>
  <c r="B40" i="4"/>
  <c r="A40" i="4"/>
  <c r="AH39" i="4"/>
  <c r="AG39" i="4"/>
  <c r="W41" i="5" s="1"/>
  <c r="D43" i="10" s="1"/>
  <c r="C39" i="4"/>
  <c r="B39" i="4"/>
  <c r="A39" i="4"/>
  <c r="AH38" i="4"/>
  <c r="AG38" i="4"/>
  <c r="W40" i="5" s="1"/>
  <c r="D42" i="10" s="1"/>
  <c r="C38" i="4"/>
  <c r="B38" i="4"/>
  <c r="A38" i="4"/>
  <c r="AH37" i="4"/>
  <c r="AG37" i="4"/>
  <c r="C37" i="4"/>
  <c r="B37" i="4"/>
  <c r="A37" i="4"/>
  <c r="AH36" i="4"/>
  <c r="AG36" i="4"/>
  <c r="C36" i="4"/>
  <c r="B36" i="4"/>
  <c r="A36" i="4"/>
  <c r="AH35" i="4"/>
  <c r="AG35" i="4"/>
  <c r="C35" i="4"/>
  <c r="B35" i="4"/>
  <c r="A35" i="4"/>
  <c r="AH34" i="4"/>
  <c r="AG34" i="4"/>
  <c r="W36" i="5" s="1"/>
  <c r="D38" i="10" s="1"/>
  <c r="C34" i="4"/>
  <c r="B34" i="4"/>
  <c r="A34" i="4"/>
  <c r="AH33" i="4"/>
  <c r="AG33" i="4"/>
  <c r="W35" i="5" s="1"/>
  <c r="D37" i="10" s="1"/>
  <c r="C33" i="4"/>
  <c r="B33" i="4"/>
  <c r="A33" i="4"/>
  <c r="AH32" i="4"/>
  <c r="AG32" i="4"/>
  <c r="C32" i="4"/>
  <c r="B32" i="4"/>
  <c r="A32" i="4"/>
  <c r="AH31" i="4"/>
  <c r="AG31" i="4"/>
  <c r="C31" i="4"/>
  <c r="B31" i="4"/>
  <c r="A31" i="4"/>
  <c r="AH30" i="4"/>
  <c r="AG30" i="4"/>
  <c r="W32" i="5" s="1"/>
  <c r="D6" i="10" s="1"/>
  <c r="C30" i="4"/>
  <c r="B30" i="4"/>
  <c r="A30" i="4"/>
  <c r="AH29" i="4"/>
  <c r="AG29" i="4"/>
  <c r="C29" i="4"/>
  <c r="B29" i="4"/>
  <c r="A29" i="4"/>
  <c r="AH28" i="4"/>
  <c r="AG28" i="4"/>
  <c r="C28" i="4"/>
  <c r="B28" i="4"/>
  <c r="A28" i="4"/>
  <c r="AH27" i="4"/>
  <c r="AG27" i="4"/>
  <c r="C27" i="4"/>
  <c r="B27" i="4"/>
  <c r="A27" i="4"/>
  <c r="AH26" i="4"/>
  <c r="AG26" i="4"/>
  <c r="W28" i="5" s="1"/>
  <c r="D21" i="10" s="1"/>
  <c r="C26" i="4"/>
  <c r="B26" i="4"/>
  <c r="A26" i="4"/>
  <c r="AH25" i="4"/>
  <c r="AG25" i="4"/>
  <c r="C25" i="4"/>
  <c r="B25" i="4"/>
  <c r="A25" i="4"/>
  <c r="AH24" i="4"/>
  <c r="AG24" i="4"/>
  <c r="C24" i="4"/>
  <c r="B24" i="4"/>
  <c r="A24" i="4"/>
  <c r="AH23" i="4"/>
  <c r="AG23" i="4"/>
  <c r="C23" i="4"/>
  <c r="B23" i="4"/>
  <c r="A23" i="4"/>
  <c r="AH22" i="4"/>
  <c r="AG22" i="4"/>
  <c r="C22" i="4"/>
  <c r="B22" i="4"/>
  <c r="A22" i="4"/>
  <c r="AH21" i="4"/>
  <c r="AG21" i="4"/>
  <c r="C21" i="4"/>
  <c r="B21" i="4"/>
  <c r="A21" i="4"/>
  <c r="AH20" i="4"/>
  <c r="AG20" i="4"/>
  <c r="C20" i="4"/>
  <c r="B20" i="4"/>
  <c r="A20" i="4"/>
  <c r="AH19" i="4"/>
  <c r="AG19" i="4"/>
  <c r="C19" i="4"/>
  <c r="B19" i="4"/>
  <c r="A19" i="4"/>
  <c r="AH18" i="4"/>
  <c r="AG18" i="4"/>
  <c r="W20" i="5" s="1"/>
  <c r="D18" i="10" s="1"/>
  <c r="C18" i="4"/>
  <c r="B18" i="4"/>
  <c r="A18" i="4"/>
  <c r="AH17" i="4"/>
  <c r="AG17" i="4"/>
  <c r="C17" i="4"/>
  <c r="B17" i="4"/>
  <c r="A17" i="4"/>
  <c r="AH16" i="4"/>
  <c r="AG16" i="4"/>
  <c r="C16" i="4"/>
  <c r="B16" i="4"/>
  <c r="A16" i="4"/>
  <c r="AH15" i="4"/>
  <c r="AG15" i="4"/>
  <c r="C15" i="4"/>
  <c r="B15" i="4"/>
  <c r="A15" i="4"/>
  <c r="AH14" i="4"/>
  <c r="AG14" i="4"/>
  <c r="C14" i="4"/>
  <c r="B14" i="4"/>
  <c r="A14" i="4"/>
  <c r="AH13" i="4"/>
  <c r="AG13" i="4"/>
  <c r="C13" i="4"/>
  <c r="B13" i="4"/>
  <c r="A13" i="4"/>
  <c r="AH12" i="4"/>
  <c r="AG12" i="4"/>
  <c r="C12" i="4"/>
  <c r="B12" i="4"/>
  <c r="A12" i="4"/>
  <c r="AH11" i="4"/>
  <c r="AG11" i="4"/>
  <c r="C11" i="4"/>
  <c r="B11" i="4"/>
  <c r="A11" i="4"/>
  <c r="AH10" i="4"/>
  <c r="AG10" i="4"/>
  <c r="W12" i="5" s="1"/>
  <c r="D23" i="10" s="1"/>
  <c r="C10" i="4"/>
  <c r="B10" i="4"/>
  <c r="A10" i="4"/>
  <c r="AH9" i="4"/>
  <c r="AG9" i="4"/>
  <c r="C9" i="4"/>
  <c r="B9" i="4"/>
  <c r="A9" i="4"/>
  <c r="AH8" i="4"/>
  <c r="AG8" i="4"/>
  <c r="C8" i="4"/>
  <c r="B8" i="4"/>
  <c r="A8" i="4"/>
  <c r="AH7" i="4"/>
  <c r="AG7" i="4"/>
  <c r="C7" i="4"/>
  <c r="B7" i="4"/>
  <c r="A7" i="4"/>
  <c r="AH6" i="4"/>
  <c r="AG6" i="4"/>
  <c r="W8" i="5" s="1"/>
  <c r="D32" i="10" s="1"/>
  <c r="C6" i="4"/>
  <c r="B6" i="4"/>
  <c r="A6" i="4"/>
  <c r="AH5" i="4"/>
  <c r="AG5" i="4"/>
  <c r="C5" i="4"/>
  <c r="B5" i="4"/>
  <c r="A5" i="4"/>
  <c r="AH4" i="4"/>
  <c r="AG4" i="4"/>
  <c r="C4" i="4"/>
  <c r="B4" i="4"/>
  <c r="A4" i="4"/>
  <c r="AH3" i="4"/>
  <c r="AG3" i="4"/>
  <c r="C3" i="4"/>
  <c r="B3" i="4"/>
  <c r="A3" i="4"/>
  <c r="AH2" i="4"/>
  <c r="AG2" i="4"/>
  <c r="W4" i="5" s="1"/>
  <c r="D31" i="10" s="1"/>
  <c r="C2" i="4"/>
  <c r="B2" i="4"/>
  <c r="A2" i="4"/>
  <c r="N36" i="7" s="1"/>
  <c r="M36" i="7" s="1"/>
  <c r="B10" i="2"/>
  <c r="B3" i="7" s="1"/>
  <c r="B7" i="2"/>
  <c r="M3" i="7" s="1"/>
  <c r="B4" i="2"/>
  <c r="P3" i="7" s="1"/>
  <c r="W19" i="5" l="1"/>
  <c r="D29" i="10" s="1"/>
  <c r="W33" i="5"/>
  <c r="D14" i="10" s="1"/>
  <c r="W27" i="5"/>
  <c r="D26" i="10" s="1"/>
  <c r="W42" i="5"/>
  <c r="D44" i="10" s="1"/>
  <c r="W13" i="5"/>
  <c r="D24" i="10" s="1"/>
  <c r="W34" i="5"/>
  <c r="D36" i="10" s="1"/>
  <c r="W9" i="5"/>
  <c r="D15" i="10" s="1"/>
  <c r="W17" i="5"/>
  <c r="D20" i="10" s="1"/>
  <c r="W30" i="5"/>
  <c r="D10" i="10" s="1"/>
  <c r="W38" i="5"/>
  <c r="D40" i="10" s="1"/>
  <c r="N20" i="7"/>
  <c r="M20" i="7" s="1"/>
  <c r="K40" i="7"/>
  <c r="C9" i="7"/>
  <c r="B9" i="7" s="1"/>
  <c r="N22" i="7"/>
  <c r="M22" i="7" s="1"/>
  <c r="N28" i="7"/>
  <c r="M28" i="7" s="1"/>
  <c r="B37" i="7"/>
  <c r="O47" i="7"/>
  <c r="N10" i="7"/>
  <c r="M10" i="7" s="1"/>
  <c r="C16" i="7"/>
  <c r="B16" i="7" s="1"/>
  <c r="C23" i="7"/>
  <c r="B23" i="7" s="1"/>
  <c r="D37" i="7"/>
  <c r="N34" i="7"/>
  <c r="M34" i="7" s="1"/>
  <c r="C11" i="7"/>
  <c r="B11" i="7" s="1"/>
  <c r="N16" i="7"/>
  <c r="M16" i="7" s="1"/>
  <c r="N24" i="7"/>
  <c r="M24" i="7" s="1"/>
  <c r="N30" i="7"/>
  <c r="M30" i="7" s="1"/>
  <c r="K37" i="7"/>
  <c r="C25" i="7"/>
  <c r="B25" i="7" s="1"/>
  <c r="N37" i="7"/>
  <c r="M37" i="7" s="1"/>
  <c r="N43" i="7"/>
  <c r="M43" i="7" s="1"/>
  <c r="N12" i="7"/>
  <c r="M12" i="7" s="1"/>
  <c r="C18" i="7"/>
  <c r="B18" i="7" s="1"/>
  <c r="N39" i="7"/>
  <c r="M39" i="7" s="1"/>
  <c r="W11" i="5"/>
  <c r="D28" i="10" s="1"/>
  <c r="C13" i="7"/>
  <c r="B13" i="7" s="1"/>
  <c r="N18" i="7"/>
  <c r="M18" i="7" s="1"/>
  <c r="B40" i="7"/>
  <c r="N13" i="7"/>
  <c r="M13" i="7" s="1"/>
  <c r="C20" i="7"/>
  <c r="B20" i="7" s="1"/>
  <c r="N33" i="7"/>
  <c r="M33" i="7" s="1"/>
  <c r="D40" i="7"/>
  <c r="N47" i="7"/>
  <c r="E6" i="10"/>
  <c r="E43" i="10"/>
  <c r="E21" i="10"/>
  <c r="E18" i="10"/>
  <c r="E42" i="10"/>
  <c r="E39" i="10"/>
  <c r="G13" i="10"/>
  <c r="E38" i="10"/>
  <c r="E7" i="10"/>
  <c r="E31" i="10"/>
  <c r="E23" i="10"/>
  <c r="E17" i="10"/>
  <c r="E15" i="10"/>
  <c r="W25" i="5"/>
  <c r="D17" i="10" s="1"/>
  <c r="E34" i="10"/>
  <c r="E11" i="10"/>
  <c r="E32" i="10"/>
  <c r="W14" i="5"/>
  <c r="D30" i="10" s="1"/>
  <c r="W22" i="5"/>
  <c r="D27" i="10" s="1"/>
  <c r="W24" i="5"/>
  <c r="D34" i="10" s="1"/>
  <c r="W26" i="5"/>
  <c r="D8" i="10" s="1"/>
  <c r="W7" i="5"/>
  <c r="D22" i="10" s="1"/>
  <c r="W15" i="5"/>
  <c r="D16" i="10" s="1"/>
  <c r="W23" i="5"/>
  <c r="D19" i="10" s="1"/>
  <c r="W31" i="5"/>
  <c r="D12" i="10" s="1"/>
  <c r="W39" i="5"/>
  <c r="D41" i="10" s="1"/>
  <c r="G14" i="10"/>
  <c r="G9" i="10"/>
  <c r="G25" i="10"/>
  <c r="W16" i="5"/>
  <c r="D11" i="10" s="1"/>
  <c r="G44" i="10"/>
  <c r="G10" i="10"/>
  <c r="G24" i="10"/>
  <c r="G8" i="10"/>
  <c r="W29" i="5"/>
  <c r="D7" i="10" s="1"/>
  <c r="G35" i="10"/>
  <c r="G29" i="10"/>
  <c r="G22" i="10"/>
  <c r="G40" i="10"/>
  <c r="G20" i="10"/>
  <c r="W21" i="5"/>
  <c r="D13" i="10" s="1"/>
  <c r="G33" i="10"/>
  <c r="G30" i="10"/>
  <c r="D42" i="7"/>
  <c r="W5" i="5"/>
  <c r="G27" i="10"/>
  <c r="G36" i="10"/>
  <c r="W37" i="5"/>
  <c r="D39" i="10" s="1"/>
  <c r="K42" i="7"/>
  <c r="M47" i="7"/>
  <c r="G28" i="10"/>
  <c r="W6" i="5"/>
  <c r="D33" i="10" s="1"/>
  <c r="G16" i="10"/>
  <c r="W10" i="5"/>
  <c r="D9" i="10" s="1"/>
  <c r="W18" i="5"/>
  <c r="D25" i="10" s="1"/>
  <c r="G19" i="10"/>
  <c r="G26" i="10"/>
  <c r="G12" i="10"/>
  <c r="G37" i="10"/>
  <c r="G41" i="10"/>
  <c r="G45" i="10"/>
  <c r="B2" i="7"/>
  <c r="N9" i="7"/>
  <c r="M9" i="7" s="1"/>
  <c r="C19" i="7"/>
  <c r="B19" i="7" s="1"/>
  <c r="N21" i="7"/>
  <c r="M21" i="7" s="1"/>
  <c r="N23" i="7"/>
  <c r="M23" i="7" s="1"/>
  <c r="N25" i="7"/>
  <c r="M25" i="7" s="1"/>
  <c r="N35" i="7"/>
  <c r="M35" i="7" s="1"/>
  <c r="N44" i="7"/>
  <c r="M44" i="7" s="1"/>
  <c r="C12" i="7"/>
  <c r="B12" i="7" s="1"/>
  <c r="C14" i="7"/>
  <c r="B14" i="7" s="1"/>
  <c r="C17" i="7"/>
  <c r="B17" i="7" s="1"/>
  <c r="N29" i="7"/>
  <c r="M29" i="7" s="1"/>
  <c r="N32" i="7"/>
  <c r="M32" i="7" s="1"/>
  <c r="N38" i="7"/>
  <c r="M38" i="7" s="1"/>
  <c r="C10" i="7"/>
  <c r="B10" i="7" s="1"/>
  <c r="N19" i="7"/>
  <c r="M19" i="7" s="1"/>
  <c r="C22" i="7"/>
  <c r="B22" i="7" s="1"/>
  <c r="C24" i="7"/>
  <c r="B24" i="7" s="1"/>
  <c r="B33" i="7"/>
  <c r="Y43" i="5" l="1" a="1"/>
  <c r="Y43" i="5" s="1"/>
  <c r="D35" i="10"/>
  <c r="Y41" i="5" a="1"/>
  <c r="Y41" i="5" s="1"/>
  <c r="F43" i="10" s="1"/>
  <c r="Y21" i="5" a="1"/>
  <c r="Y21" i="5" s="1"/>
  <c r="F13" i="10" s="1"/>
  <c r="Y34" i="5" a="1"/>
  <c r="Y34" i="5" s="1"/>
  <c r="F36" i="10" s="1"/>
  <c r="Y40" i="5" a="1"/>
  <c r="Y40" i="5" s="1"/>
  <c r="F42" i="10" s="1"/>
  <c r="Y29" i="5" a="1"/>
  <c r="Y29" i="5" s="1"/>
  <c r="F7" i="10" s="1"/>
  <c r="Y11" i="5" a="1"/>
  <c r="Y11" i="5" s="1"/>
  <c r="F28" i="10" s="1"/>
  <c r="Y22" i="5" a="1"/>
  <c r="Y22" i="5" s="1"/>
  <c r="F27" i="10" s="1"/>
  <c r="Y14" i="5" a="1"/>
  <c r="Y14" i="5" s="1"/>
  <c r="F30" i="10" s="1"/>
  <c r="Y20" i="5" a="1"/>
  <c r="Y20" i="5" s="1"/>
  <c r="F18" i="10" s="1"/>
  <c r="Y6" i="5" a="1"/>
  <c r="Y6" i="5" s="1"/>
  <c r="F33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22" i="10" s="1"/>
  <c r="Y33" i="5" a="1"/>
  <c r="Y33" i="5" s="1"/>
  <c r="Y5" i="5" a="1"/>
  <c r="Y5" i="5" s="1"/>
  <c r="F35" i="10" s="1"/>
  <c r="Y32" i="5" a="1"/>
  <c r="Y32" i="5" s="1"/>
  <c r="F6" i="10" s="1"/>
  <c r="Y9" i="5" a="1"/>
  <c r="Y9" i="5" s="1"/>
  <c r="F15" i="10" s="1"/>
  <c r="Y10" i="5" a="1"/>
  <c r="Y10" i="5" s="1"/>
  <c r="F9" i="10" s="1"/>
  <c r="Y38" i="5" a="1"/>
  <c r="Y38" i="5" s="1"/>
  <c r="Y8" i="5" a="1"/>
  <c r="Y8" i="5" s="1"/>
  <c r="F32" i="10" s="1"/>
  <c r="Y15" i="5" a="1"/>
  <c r="Y15" i="5" s="1"/>
  <c r="F16" i="10" s="1"/>
  <c r="Y31" i="5" a="1"/>
  <c r="Y31" i="5" s="1"/>
  <c r="F12" i="10" s="1"/>
  <c r="Y19" i="5" a="1"/>
  <c r="Y19" i="5" s="1"/>
  <c r="F29" i="10" s="1"/>
  <c r="Y30" i="5" a="1"/>
  <c r="Y30" i="5" s="1"/>
  <c r="F10" i="10" s="1"/>
  <c r="Y18" i="5" a="1"/>
  <c r="Y18" i="5" s="1"/>
  <c r="F25" i="10" s="1"/>
  <c r="Y25" i="5" a="1"/>
  <c r="Y25" i="5" s="1"/>
  <c r="F17" i="10" s="1"/>
  <c r="Y27" i="5" a="1"/>
  <c r="Y27" i="5" s="1"/>
  <c r="Y13" i="5" a="1"/>
  <c r="Y13" i="5" s="1"/>
  <c r="F24" i="10" s="1"/>
  <c r="Y17" i="5" a="1"/>
  <c r="Y17" i="5" s="1"/>
  <c r="F20" i="10" s="1"/>
  <c r="Y23" i="5" a="1"/>
  <c r="Y23" i="5" s="1"/>
  <c r="F19" i="10" s="1"/>
  <c r="Y24" i="5" a="1"/>
  <c r="Y24" i="5" s="1"/>
  <c r="F34" i="10" s="1"/>
  <c r="Y36" i="5" a="1"/>
  <c r="Y36" i="5" s="1"/>
  <c r="F38" i="10" s="1"/>
  <c r="Y26" i="5" a="1"/>
  <c r="Y26" i="5" s="1"/>
  <c r="Y37" i="5" a="1"/>
  <c r="Y37" i="5" s="1"/>
  <c r="F39" i="10" s="1"/>
  <c r="Y28" i="5" a="1"/>
  <c r="Y28" i="5" s="1"/>
  <c r="F21" i="10" s="1"/>
  <c r="Y4" i="5" a="1"/>
  <c r="Y4" i="5" s="1"/>
  <c r="Y16" i="5" a="1"/>
  <c r="Y16" i="5" s="1"/>
  <c r="F11" i="10" s="1"/>
  <c r="Y12" i="5" a="1"/>
  <c r="Y12" i="5" s="1"/>
  <c r="F23" i="10" s="1"/>
  <c r="F26" i="10" l="1"/>
  <c r="F40" i="10"/>
  <c r="F8" i="10"/>
  <c r="F14" i="10"/>
  <c r="F45" i="10"/>
  <c r="F31" i="10"/>
  <c r="B42" i="7"/>
</calcChain>
</file>

<file path=xl/sharedStrings.xml><?xml version="1.0" encoding="utf-8"?>
<sst xmlns="http://schemas.openxmlformats.org/spreadsheetml/2006/main" count="480" uniqueCount="346">
  <si>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</si>
  <si>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</si>
  <si>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</si>
  <si>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</si>
  <si>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</si>
  <si>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</si>
  <si>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</si>
  <si>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</si>
  <si>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</si>
  <si>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</si>
  <si>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</si>
  <si>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</si>
  <si>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</si>
  <si>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</si>
  <si>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</si>
  <si>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</si>
  <si>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</si>
  <si>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</si>
  <si>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</si>
  <si>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</si>
  <si>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</si>
  <si>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</si>
  <si>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</si>
  <si>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</si>
  <si>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</si>
  <si>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</si>
  <si>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</si>
  <si>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</si>
  <si>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</si>
  <si>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</si>
  <si>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</si>
  <si>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</si>
  <si>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</si>
  <si>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</si>
  <si>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</si>
  <si>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</si>
  <si>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</si>
  <si>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</si>
  <si>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</si>
  <si>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</si>
  <si>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</si>
  <si>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</si>
  <si>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</si>
  <si>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</si>
  <si>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</si>
  <si>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</si>
  <si>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</si>
  <si>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</si>
  <si>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</si>
  <si>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</si>
  <si>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</si>
  <si>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</si>
  <si>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</si>
  <si>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</si>
  <si>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</si>
  <si>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</si>
  <si>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</si>
  <si>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</si>
  <si>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</si>
  <si>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</si>
  <si>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</si>
  <si>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</si>
  <si>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</si>
  <si>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</si>
  <si>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</si>
  <si>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</si>
  <si>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</si>
  <si>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</si>
  <si>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</si>
  <si>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</si>
  <si>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</si>
  <si>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</si>
  <si>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</si>
  <si>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</si>
  <si>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</si>
  <si>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</si>
  <si>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</si>
  <si>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</si>
  <si>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</si>
  <si>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</si>
  <si>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</si>
  <si>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</si>
  <si>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</si>
  <si>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</si>
  <si>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</si>
  <si>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</si>
  <si>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</si>
  <si>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</si>
  <si>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</si>
  <si>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</si>
  <si>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</si>
  <si>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</si>
  <si>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</si>
  <si>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</si>
  <si>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</si>
  <si>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</si>
  <si>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</si>
  <si>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</si>
  <si>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</si>
  <si>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</si>
  <si>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</si>
  <si>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</si>
  <si>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</si>
  <si>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</si>
  <si>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</si>
  <si>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</si>
  <si>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</si>
  <si>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</si>
  <si>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</si>
  <si>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</si>
  <si>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</si>
  <si>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</si>
  <si>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</si>
  <si>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</si>
  <si>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</si>
  <si>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</si>
  <si>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</si>
  <si>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</si>
  <si>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</si>
  <si>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</si>
  <si>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</si>
  <si>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</si>
  <si>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</si>
  <si>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</si>
  <si>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</si>
  <si>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</si>
  <si>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</si>
  <si>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</si>
  <si>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</si>
  <si>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</si>
  <si>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</si>
  <si>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</si>
  <si>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</si>
  <si>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</si>
  <si>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</si>
  <si>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</si>
  <si>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</si>
  <si>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</si>
  <si>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</si>
  <si>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</si>
  <si>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</si>
  <si>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</si>
  <si>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</si>
  <si>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</si>
  <si>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</si>
  <si>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</si>
  <si>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</si>
  <si>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</si>
  <si>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</si>
  <si>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</si>
  <si>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</si>
  <si>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</si>
  <si>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</si>
  <si>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</si>
  <si>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</si>
  <si>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</si>
  <si>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</si>
  <si>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</si>
  <si>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</si>
  <si>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</si>
  <si>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</si>
  <si>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</si>
  <si>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</si>
  <si>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</si>
  <si>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</si>
  <si>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</si>
  <si>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</si>
  <si>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</si>
  <si>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</si>
  <si>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</si>
  <si>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</si>
  <si>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</si>
  <si>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</si>
  <si>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</si>
  <si>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</si>
  <si>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</si>
  <si>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</si>
  <si>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</si>
  <si>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</si>
  <si>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</si>
  <si>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</si>
  <si>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</si>
  <si>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</si>
  <si>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</si>
  <si>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</si>
  <si>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</si>
  <si>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</si>
  <si>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</si>
  <si>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</si>
  <si>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</si>
  <si>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</si>
  <si>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</si>
  <si>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</si>
  <si>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</si>
  <si>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</si>
  <si>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</si>
  <si>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</si>
  <si>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</si>
  <si>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</si>
  <si>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</si>
  <si>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</si>
  <si>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</si>
  <si>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</si>
  <si>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</si>
  <si>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</si>
  <si>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</si>
  <si>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</si>
  <si>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</si>
  <si>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</si>
  <si>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</si>
  <si>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</si>
  <si>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</si>
  <si>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</si>
  <si>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</si>
  <si>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</si>
  <si>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</si>
  <si>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</si>
  <si>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</si>
  <si>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</si>
  <si>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</si>
  <si>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</si>
  <si>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</si>
  <si>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</si>
  <si>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</si>
  <si>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</si>
  <si>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</si>
  <si>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</si>
  <si>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</si>
  <si>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</si>
  <si>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</si>
  <si>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</si>
  <si>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</si>
  <si>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</si>
  <si>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</si>
  <si>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</si>
  <si>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</si>
  <si>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</si>
  <si>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</si>
  <si>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</si>
  <si>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</si>
  <si>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</si>
  <si>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</si>
  <si>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</si>
  <si>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</si>
  <si>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</si>
  <si>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</si>
  <si>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</si>
  <si>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</si>
  <si>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</si>
  <si>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</si>
  <si>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</si>
  <si>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</si>
  <si>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</si>
  <si>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</si>
  <si>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</si>
  <si>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</si>
  <si>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</si>
  <si>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</si>
  <si>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</si>
  <si>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</si>
  <si>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</si>
  <si>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</si>
  <si>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</si>
  <si>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</si>
  <si>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</si>
  <si>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</si>
  <si>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</si>
  <si>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</si>
  <si>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</si>
  <si>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</si>
  <si>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</si>
  <si>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</si>
  <si>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</si>
  <si>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</si>
  <si>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</si>
  <si>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</si>
  <si>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</si>
  <si>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</si>
  <si>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</si>
  <si>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</si>
  <si>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</si>
  <si>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</si>
  <si>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</si>
  <si>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</si>
  <si>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الرابع ج للبنات</t>
  </si>
  <si>
    <t>ALIFA RIZKIYAH</t>
  </si>
  <si>
    <t>1097</t>
  </si>
  <si>
    <t xml:space="preserve">ASSYIFA RAHMAWATI  </t>
  </si>
  <si>
    <t>1098</t>
  </si>
  <si>
    <t>ATHIRA PUTRI TAZKIAH</t>
  </si>
  <si>
    <t>1099</t>
  </si>
  <si>
    <t>AYU FITRI RAMADHANI</t>
  </si>
  <si>
    <t>1100</t>
  </si>
  <si>
    <t>BUNGA AULIA</t>
  </si>
  <si>
    <t>1101</t>
  </si>
  <si>
    <t>DINA LAURA</t>
  </si>
  <si>
    <t>1102</t>
  </si>
  <si>
    <t>EVI OKTAVIANI</t>
  </si>
  <si>
    <t>1103</t>
  </si>
  <si>
    <t>INDAH MAELANI</t>
  </si>
  <si>
    <t>1104</t>
  </si>
  <si>
    <t>MAR'AH AINUN NABILAH</t>
  </si>
  <si>
    <t>1105</t>
  </si>
  <si>
    <t>MUTIARA INDAH PRATIWI</t>
  </si>
  <si>
    <t>1106</t>
  </si>
  <si>
    <t>NAILA RIZKI ARABELA</t>
  </si>
  <si>
    <t>1107</t>
  </si>
  <si>
    <t>NAILA SEPTIANI</t>
  </si>
  <si>
    <t>1108</t>
  </si>
  <si>
    <t>NURUL ANNISA HARAHAP</t>
  </si>
  <si>
    <t>1109</t>
  </si>
  <si>
    <t>RATU NUR ERISYA RADESTA</t>
  </si>
  <si>
    <t>1110</t>
  </si>
  <si>
    <t>RISMA YANTI MAESARAH</t>
  </si>
  <si>
    <t>1111</t>
  </si>
  <si>
    <t>RIZKA KAMILATUL ULYA</t>
  </si>
  <si>
    <t>1112</t>
  </si>
  <si>
    <t>RONA IMRONA</t>
  </si>
  <si>
    <t>1113</t>
  </si>
  <si>
    <t>RUFAIDAH AZZAHRA</t>
  </si>
  <si>
    <t>1114</t>
  </si>
  <si>
    <t>SALWA JUHRATUNISA</t>
  </si>
  <si>
    <t>1115</t>
  </si>
  <si>
    <t>SITI KHORIAH</t>
  </si>
  <si>
    <t>1116</t>
  </si>
  <si>
    <t>SITI MAESAROH</t>
  </si>
  <si>
    <t>1117</t>
  </si>
  <si>
    <t>SITI ZAHROTUL UYUN</t>
  </si>
  <si>
    <t>1118</t>
  </si>
  <si>
    <t>SOFWA SALSABILA</t>
  </si>
  <si>
    <t>1119</t>
  </si>
  <si>
    <t>SULISTIA NINGSIH</t>
  </si>
  <si>
    <t>1120</t>
  </si>
  <si>
    <t>VERA FEBRIANTI</t>
  </si>
  <si>
    <t>1121</t>
  </si>
  <si>
    <t>VIVI AULIA</t>
  </si>
  <si>
    <t>1122</t>
  </si>
  <si>
    <t>ZAHRA CITRA AGUSTIN</t>
  </si>
  <si>
    <t>1123</t>
  </si>
  <si>
    <t>ZAHROTUL SYIFA</t>
  </si>
  <si>
    <t>1124</t>
  </si>
  <si>
    <t>ZAKIA MANILOKA</t>
  </si>
  <si>
    <t>1125</t>
  </si>
  <si>
    <t>ZASKIA ANANTA PAMBUDI</t>
  </si>
  <si>
    <t>1126</t>
  </si>
  <si>
    <t xml:space="preserve">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</si>
</sst>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8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4" fillId="0" borderId="0" xfId="0" applyFont="1" applyAlignment="1">
      <alignment vertical="center" readingOrder="2"/>
    </xf>
    <xf numFmtId="0" fontId="1" fillId="0" borderId="0" xfId="0" applyFont="1" applyAlignment="1"/>
    <xf numFmtId="0" fontId="1" fillId="0" borderId="0" xfId="0" applyFont="1">
      <alignment vertical="center"/>
    </xf>
    <xf numFmtId="165" fontId="17" fillId="0" borderId="0" xfId="0" applyNumberFormat="1" applyFont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readingOrder="2"/>
    </xf>
    <xf numFmtId="0" fontId="18" fillId="0" borderId="12" xfId="0" applyFont="1" applyBorder="1" applyAlignment="1">
      <alignment horizontal="right" vertical="center"/>
    </xf>
    <xf numFmtId="165" fontId="19" fillId="0" borderId="2" xfId="0" applyNumberFormat="1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64" fontId="19" fillId="0" borderId="20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21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0" xfId="0" applyFont="1">
      <alignment vertical="center"/>
    </xf>
    <xf numFmtId="0" fontId="18" fillId="0" borderId="25" xfId="0" applyFont="1" applyBorder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8" fillId="0" borderId="30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164" fontId="19" fillId="0" borderId="15" xfId="0" applyNumberFormat="1" applyFont="1" applyBorder="1" applyAlignment="1">
      <alignment horizontal="center" vertical="center"/>
    </xf>
    <xf numFmtId="0" fontId="24" fillId="0" borderId="25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18" fillId="0" borderId="26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5" fontId="19" fillId="0" borderId="5" xfId="0" applyNumberFormat="1" applyFont="1" applyBorder="1" applyAlignment="1">
      <alignment horizontal="center" vertical="center"/>
    </xf>
    <xf numFmtId="164" fontId="19" fillId="0" borderId="41" xfId="0" applyNumberFormat="1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8" fillId="7" borderId="1" xfId="0" applyFont="1" applyFill="1" applyBorder="1" applyAlignment="1">
      <alignment horizontal="center" vertical="center"/>
    </xf>
    <xf numFmtId="0" fontId="18" fillId="0" borderId="29" xfId="0" applyFont="1" applyBorder="1" applyAlignment="1">
      <alignment horizontal="right" vertical="center" readingOrder="2"/>
    </xf>
    <xf numFmtId="0" fontId="16" fillId="0" borderId="14" xfId="0" applyFont="1" applyBorder="1" applyAlignment="1">
      <alignment horizontal="center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readingOrder="2"/>
    </xf>
    <xf numFmtId="0" fontId="18" fillId="0" borderId="0" xfId="0" applyFont="1" applyAlignment="1">
      <alignment vertical="center" readingOrder="2"/>
    </xf>
    <xf numFmtId="0" fontId="22" fillId="0" borderId="0" xfId="0" applyFo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/>
      <protection locked="0"/>
    </xf>
    <xf numFmtId="0" fontId="7" fillId="8" borderId="3" xfId="0" applyFont="1" applyFill="1" applyBorder="1" applyAlignment="1" applyProtection="1">
      <alignment horizontal="center"/>
      <protection locked="0"/>
    </xf>
    <xf numFmtId="0" fontId="7" fillId="8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/>
    </xf>
    <xf numFmtId="165" fontId="19" fillId="0" borderId="26" xfId="0" applyNumberFormat="1" applyFont="1" applyBorder="1" applyAlignment="1">
      <alignment horizontal="center" vertical="center"/>
    </xf>
    <xf numFmtId="165" fontId="19" fillId="0" borderId="27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165" fontId="19" fillId="0" borderId="7" xfId="0" applyNumberFormat="1" applyFont="1" applyBorder="1" applyAlignment="1">
      <alignment horizontal="center" vertical="center"/>
    </xf>
    <xf numFmtId="0" fontId="18" fillId="0" borderId="0" xfId="0" applyFont="1" applyAlignment="1">
      <alignment horizontal="right" vertical="center" readingOrder="2"/>
    </xf>
    <xf numFmtId="0" fontId="18" fillId="0" borderId="29" xfId="0" applyFont="1" applyBorder="1" applyAlignment="1">
      <alignment horizontal="right" vertical="center" readingOrder="2"/>
    </xf>
    <xf numFmtId="0" fontId="22" fillId="0" borderId="28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9" xfId="0" applyFont="1" applyBorder="1" applyAlignment="1">
      <alignment horizontal="left" vertical="center" wrapText="1" indent="7"/>
    </xf>
    <xf numFmtId="0" fontId="18" fillId="0" borderId="28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24" fillId="0" borderId="0" xfId="0" applyFont="1">
      <alignment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167" fontId="18" fillId="0" borderId="0" xfId="0" applyNumberFormat="1" applyFont="1" applyAlignment="1">
      <alignment horizontal="right" vertical="center" readingOrder="2"/>
    </xf>
    <xf numFmtId="164" fontId="18" fillId="0" borderId="5" xfId="0" applyNumberFormat="1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1" fillId="0" borderId="6" xfId="0" applyFont="1" applyBorder="1" applyAlignment="1" applyProtection="1">
      <alignment horizontal="center" vertical="center"/>
      <protection locked="0"/>
    </xf>
    <xf numFmtId="165" fontId="15" fillId="0" borderId="34" xfId="0" applyNumberFormat="1" applyFont="1" applyBorder="1" applyAlignment="1">
      <alignment horizontal="center" vertical="center"/>
    </xf>
    <xf numFmtId="165" fontId="15" fillId="0" borderId="35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right" vertical="center" readingOrder="2"/>
    </xf>
    <xf numFmtId="164" fontId="18" fillId="0" borderId="14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/>
    </xf>
    <xf numFmtId="0" fontId="18" fillId="0" borderId="28" xfId="0" applyFont="1" applyBorder="1">
      <alignment vertical="center"/>
    </xf>
    <xf numFmtId="0" fontId="18" fillId="0" borderId="0" xfId="0" applyFont="1">
      <alignment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18" fillId="0" borderId="34" xfId="0" applyFont="1" applyBorder="1" applyAlignment="1">
      <alignment horizontal="center" vertical="center" readingOrder="2"/>
    </xf>
    <xf numFmtId="0" fontId="18" fillId="0" borderId="35" xfId="0" applyFont="1" applyBorder="1" applyAlignment="1">
      <alignment horizontal="center" vertical="center" readingOrder="2"/>
    </xf>
    <xf numFmtId="0" fontId="18" fillId="0" borderId="36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6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8" fillId="0" borderId="30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8" xfId="0" applyFont="1" applyBorder="1" applyAlignment="1">
      <alignment horizontal="center" vertical="center" readingOrder="2"/>
    </xf>
    <xf numFmtId="0" fontId="18" fillId="0" borderId="25" xfId="0" applyFont="1" applyBorder="1" applyAlignment="1">
      <alignment horizontal="center" vertical="center"/>
    </xf>
    <xf numFmtId="164" fontId="16" fillId="0" borderId="38" xfId="0" applyNumberFormat="1" applyFont="1" applyBorder="1" applyAlignment="1">
      <alignment horizontal="center" vertical="center"/>
    </xf>
    <xf numFmtId="164" fontId="16" fillId="0" borderId="29" xfId="0" applyNumberFormat="1" applyFont="1" applyBorder="1" applyAlignment="1">
      <alignment horizontal="center" vertical="center"/>
    </xf>
    <xf numFmtId="164" fontId="16" fillId="0" borderId="40" xfId="0" applyNumberFormat="1" applyFont="1" applyBorder="1" applyAlignment="1">
      <alignment horizontal="center" vertical="center"/>
    </xf>
    <xf numFmtId="164" fontId="16" fillId="0" borderId="33" xfId="0" applyNumberFormat="1" applyFont="1" applyBorder="1" applyAlignment="1">
      <alignment horizontal="center" vertical="center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1" xfId="0" applyNumberFormat="1" applyFont="1" applyBorder="1" applyAlignment="1">
      <alignment horizontal="center" vertical="center" readingOrder="2"/>
    </xf>
    <xf numFmtId="166" fontId="16" fillId="0" borderId="32" xfId="0" applyNumberFormat="1" applyFont="1" applyBorder="1" applyAlignment="1">
      <alignment horizontal="center" vertical="center" readingOrder="2"/>
    </xf>
    <xf numFmtId="166" fontId="16" fillId="0" borderId="33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wrapText="1" readingOrder="2"/>
    </xf>
    <xf numFmtId="0" fontId="16" fillId="0" borderId="39" xfId="0" applyFont="1" applyBorder="1" applyAlignment="1">
      <alignment horizontal="center" vertical="center" wrapText="1" readingOrder="2"/>
    </xf>
    <xf numFmtId="0" fontId="15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 applyAlignment="1">
      <alignment horizontal="right" vertical="center" readingOrder="2"/>
    </xf>
    <xf numFmtId="0" fontId="18" fillId="0" borderId="31" xfId="0" applyFont="1" applyBorder="1" applyAlignment="1">
      <alignment horizontal="right" vertical="center" readingOrder="2"/>
    </xf>
    <xf numFmtId="0" fontId="18" fillId="0" borderId="32" xfId="0" applyFont="1" applyBorder="1" applyAlignment="1">
      <alignment horizontal="right" vertical="center" readingOrder="2"/>
    </xf>
    <xf numFmtId="0" fontId="18" fillId="0" borderId="33" xfId="0" applyFont="1" applyBorder="1" applyAlignment="1">
      <alignment horizontal="right" vertical="center" readingOrder="2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 wrapText="1" readingOrder="2"/>
    </xf>
    <xf numFmtId="0" fontId="24" fillId="0" borderId="0" xfId="0" applyFont="1" applyAlignment="1">
      <alignment horizontal="center" vertical="center" wrapText="1"/>
    </xf>
    <xf numFmtId="0" fontId="18" fillId="0" borderId="34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165" fontId="19" fillId="0" borderId="10" xfId="0" applyNumberFormat="1" applyFont="1" applyBorder="1" applyAlignment="1">
      <alignment horizontal="center" vertical="center"/>
    </xf>
    <xf numFmtId="165" fontId="19" fillId="0" borderId="21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13" fillId="0" borderId="0" xfId="0" applyFont="1" applyAlignment="1">
      <alignment horizontal="left" vertical="center" indent="1" readingOrder="2"/>
    </xf>
    <xf numFmtId="0" fontId="18" fillId="0" borderId="0" xfId="0" applyFont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0" fontId="18" fillId="0" borderId="18" xfId="0" applyFont="1" applyBorder="1" applyAlignment="1">
      <alignment horizontal="right" vertical="center" readingOrder="2"/>
    </xf>
    <xf numFmtId="0" fontId="18" fillId="0" borderId="19" xfId="0" applyFont="1" applyBorder="1" applyAlignment="1">
      <alignment horizontal="right" vertical="center" readingOrder="2"/>
    </xf>
    <xf numFmtId="0" fontId="16" fillId="0" borderId="1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165" fontId="16" fillId="0" borderId="34" xfId="0" applyNumberFormat="1" applyFont="1" applyBorder="1" applyAlignment="1">
      <alignment horizontal="center" vertical="center"/>
    </xf>
    <xf numFmtId="165" fontId="16" fillId="0" borderId="35" xfId="0" applyNumberFormat="1" applyFont="1" applyBorder="1" applyAlignment="1">
      <alignment horizontal="center" vertical="center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7" max="30000" page="10" val="30"/>
</file>

<file path=xl/ctrlProps/ctrlProp2.xml><?xml version="1.0" encoding="utf-8"?>
<formControlPr xmlns="http://schemas.microsoft.com/office/spreadsheetml/2009/9/main" objectType="Drop" dropLines="10" dropStyle="combo" dx="31" fmlaLink="$U$7" fmlaRange="'Data Siswa'!$B$2:$B$41" noThreeD="1" sel="30" val="0"/>
</file>

<file path=xl/ctrlProps/ctrlProp3.xml><?xml version="1.0" encoding="utf-8"?>
<formControlPr xmlns="http://schemas.microsoft.com/office/spreadsheetml/2009/9/main" objectType="Drop" dropStyle="combo" dx="31" fmlaLink="$V$9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Data Siswa'!$B$2:$B$41" noThreeD="1" sel="30" val="27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157902</xdr:colOff>
      <xdr:row>2</xdr:row>
      <xdr:rowOff>234793</xdr:rowOff>
    </xdr:from>
    <xdr:to>
      <xdr:col>17</xdr:col>
      <xdr:colOff>259564</xdr:colOff>
      <xdr:row>2</xdr:row>
      <xdr:rowOff>234793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94852" y="469743"/>
          <a:ext cx="330206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237514</xdr:rowOff>
    </xdr:from>
    <xdr:to>
      <xdr:col>11</xdr:col>
      <xdr:colOff>349619</xdr:colOff>
      <xdr:row>2</xdr:row>
      <xdr:rowOff>237514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6571" y="473371"/>
          <a:ext cx="317083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739819</xdr:colOff>
      <xdr:row>54</xdr:row>
      <xdr:rowOff>215790</xdr:rowOff>
    </xdr:from>
    <xdr:to>
      <xdr:col>10</xdr:col>
      <xdr:colOff>215013</xdr:colOff>
      <xdr:row>54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54</xdr:row>
      <xdr:rowOff>215790</xdr:rowOff>
    </xdr:from>
    <xdr:to>
      <xdr:col>16</xdr:col>
      <xdr:colOff>637947</xdr:colOff>
      <xdr:row>54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48</xdr:row>
      <xdr:rowOff>228490</xdr:rowOff>
    </xdr:from>
    <xdr:to>
      <xdr:col>15</xdr:col>
      <xdr:colOff>279400</xdr:colOff>
      <xdr:row>48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5</xdr:row>
          <xdr:rowOff>0</xdr:rowOff>
        </xdr:from>
        <xdr:to>
          <xdr:col>21</xdr:col>
          <xdr:colOff>584200</xdr:colOff>
          <xdr:row>6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839368</xdr:colOff>
      <xdr:row>52</xdr:row>
      <xdr:rowOff>153275</xdr:rowOff>
    </xdr:from>
    <xdr:to>
      <xdr:col>14</xdr:col>
      <xdr:colOff>70361</xdr:colOff>
      <xdr:row>56</xdr:row>
      <xdr:rowOff>152458</xdr:rowOff>
    </xdr:to>
    <xdr:pic>
      <xdr:nvPicPr>
        <xdr:cNvPr id="7" name="Gambar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9828" y="10327873"/>
          <a:ext cx="1727200" cy="9042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143</v>
      </c>
    </row>
    <row r="4" spans="3:3">
      <c r="C4" t="s">
        <v>144</v>
      </c>
    </row>
    <row r="6" spans="3:3">
      <c r="C6" t="s">
        <v>145</v>
      </c>
    </row>
    <row r="8" spans="3:3">
      <c r="C8" t="s">
        <v>146</v>
      </c>
    </row>
    <row r="10" spans="3:3">
      <c r="C10" t="s">
        <v>147</v>
      </c>
    </row>
    <row r="12" spans="3: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6" zoomScale="103" workbookViewId="0">
      <selection activeCell="C21" sqref="C21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32" t="s">
        <v>171</v>
      </c>
      <c r="D1" s="132"/>
      <c r="E1" s="132"/>
      <c r="F1" s="132"/>
      <c r="G1" s="132"/>
    </row>
    <row r="2" spans="1:12">
      <c r="C2" s="132"/>
      <c r="D2" s="132"/>
      <c r="E2" s="132"/>
      <c r="F2" s="132"/>
      <c r="G2" s="132"/>
    </row>
    <row r="3" spans="1:12" ht="7.5" customHeight="1">
      <c r="C3" s="136"/>
      <c r="D3" s="137"/>
      <c r="E3" s="137"/>
      <c r="F3" s="137"/>
      <c r="G3" s="138"/>
    </row>
    <row r="4" spans="1:12" ht="21">
      <c r="A4" s="1" t="s">
        <v>94</v>
      </c>
      <c r="B4" s="1" t="str">
        <f>CONCATENATE(F4," ",E4," ",C4)</f>
        <v>الصف  : الرابع ج للبنات</v>
      </c>
      <c r="C4" s="125" t="s">
        <v>284</v>
      </c>
      <c r="D4" s="125"/>
      <c r="E4" s="125" t="s">
        <v>152</v>
      </c>
      <c r="F4" s="2" t="s">
        <v>151</v>
      </c>
      <c r="G4" s="124">
        <v>1</v>
      </c>
    </row>
    <row r="5" spans="1:12">
      <c r="C5" s="125"/>
      <c r="D5" s="125"/>
      <c r="E5" s="125"/>
      <c r="F5" s="3" t="s">
        <v>156</v>
      </c>
      <c r="G5" s="124"/>
    </row>
    <row r="6" spans="1:12" ht="7" customHeight="1">
      <c r="C6" s="127"/>
      <c r="D6" s="127"/>
      <c r="E6" s="127"/>
      <c r="F6" s="127"/>
      <c r="G6" s="127"/>
    </row>
    <row r="7" spans="1:12" ht="21">
      <c r="A7" s="5" t="s">
        <v>94</v>
      </c>
      <c r="B7" s="1" t="str">
        <f>CONCATENATE(F7," ",E7," ",C7)</f>
        <v>الفصل الدراسي : الأول</v>
      </c>
      <c r="C7" s="134" t="s">
        <v>279</v>
      </c>
      <c r="D7" s="134"/>
      <c r="E7" s="126" t="s">
        <v>152</v>
      </c>
      <c r="F7" s="55" t="s">
        <v>163</v>
      </c>
      <c r="G7" s="130">
        <v>2</v>
      </c>
    </row>
    <row r="8" spans="1:12" ht="21.65" customHeight="1">
      <c r="C8" s="134"/>
      <c r="D8" s="134"/>
      <c r="E8" s="126"/>
      <c r="F8" s="56" t="s">
        <v>164</v>
      </c>
      <c r="G8" s="130"/>
    </row>
    <row r="9" spans="1:12" ht="7" customHeight="1">
      <c r="C9" s="129"/>
      <c r="D9" s="129"/>
      <c r="E9" s="129"/>
      <c r="F9" s="129"/>
      <c r="G9" s="129"/>
    </row>
    <row r="10" spans="1:12" ht="26.5" customHeight="1">
      <c r="A10" s="1" t="s">
        <v>94</v>
      </c>
      <c r="B10" s="1" t="str">
        <f>CONCATENATE(F10," : ",C11," ه"," \ ",C10," م")</f>
        <v>العام الدراسي : ١٤٤٤ - ١٤٤٥ ه \ ٢٠٢٣ - ٢٠٢٤ م</v>
      </c>
      <c r="C10" s="128" t="s">
        <v>280</v>
      </c>
      <c r="D10" s="128"/>
      <c r="E10" s="126" t="s">
        <v>152</v>
      </c>
      <c r="F10" s="57" t="s">
        <v>153</v>
      </c>
      <c r="G10" s="130">
        <v>3</v>
      </c>
    </row>
    <row r="11" spans="1:12" ht="26.15" customHeight="1">
      <c r="C11" s="133" t="s">
        <v>281</v>
      </c>
      <c r="D11" s="133"/>
      <c r="E11" s="126"/>
      <c r="F11" s="56" t="s">
        <v>155</v>
      </c>
      <c r="G11" s="130"/>
    </row>
    <row r="12" spans="1:12" ht="6.65" customHeight="1">
      <c r="C12" s="129"/>
      <c r="D12" s="129"/>
      <c r="E12" s="129"/>
      <c r="F12" s="129"/>
      <c r="G12" s="129"/>
    </row>
    <row r="13" spans="1:12" ht="21">
      <c r="C13" s="139" t="s">
        <v>282</v>
      </c>
      <c r="D13" s="140"/>
      <c r="E13" s="126" t="s">
        <v>152</v>
      </c>
      <c r="F13" s="57" t="s">
        <v>154</v>
      </c>
      <c r="G13" s="130">
        <v>4</v>
      </c>
      <c r="K13" s="7"/>
    </row>
    <row r="14" spans="1:12" ht="22.5" customHeight="1">
      <c r="C14" s="140" t="s">
        <v>283</v>
      </c>
      <c r="D14" s="140"/>
      <c r="E14" s="126"/>
      <c r="F14" s="56" t="s">
        <v>157</v>
      </c>
      <c r="G14" s="130"/>
      <c r="K14" s="7"/>
    </row>
    <row r="15" spans="1:12" ht="6" customHeight="1">
      <c r="C15" s="127"/>
      <c r="D15" s="127"/>
      <c r="E15" s="127"/>
      <c r="F15" s="127"/>
      <c r="G15" s="127"/>
    </row>
    <row r="16" spans="1:12" ht="21">
      <c r="C16" s="131" t="s">
        <v>265</v>
      </c>
      <c r="D16" s="131"/>
      <c r="E16" s="125" t="s">
        <v>152</v>
      </c>
      <c r="F16" s="6" t="s">
        <v>159</v>
      </c>
      <c r="G16" s="124">
        <v>5</v>
      </c>
      <c r="K16" s="7"/>
      <c r="L16" s="7"/>
    </row>
    <row r="17" spans="3:12">
      <c r="C17" s="131"/>
      <c r="D17" s="131"/>
      <c r="E17" s="125"/>
      <c r="F17" s="3" t="s">
        <v>161</v>
      </c>
      <c r="G17" s="124"/>
    </row>
    <row r="18" spans="3:12" ht="6" customHeight="1">
      <c r="C18" s="135"/>
      <c r="D18" s="135"/>
      <c r="E18" s="135"/>
      <c r="F18" s="135"/>
      <c r="G18" s="135"/>
    </row>
    <row r="19" spans="3:12" ht="21">
      <c r="C19" s="131" t="s">
        <v>345</v>
      </c>
      <c r="D19" s="131"/>
      <c r="E19" s="125" t="s">
        <v>152</v>
      </c>
      <c r="F19" s="6" t="s">
        <v>160</v>
      </c>
      <c r="G19" s="124">
        <v>6</v>
      </c>
    </row>
    <row r="20" spans="3:12">
      <c r="C20" s="131"/>
      <c r="D20" s="131"/>
      <c r="E20" s="125"/>
      <c r="F20" s="8" t="s">
        <v>162</v>
      </c>
      <c r="G20" s="124"/>
    </row>
    <row r="24" spans="3:12">
      <c r="L24" s="7"/>
    </row>
    <row r="25" spans="3:12">
      <c r="L25" s="7"/>
    </row>
    <row r="26" spans="3:12">
      <c r="L26" s="7"/>
    </row>
    <row r="27" spans="3:12">
      <c r="L27" s="7"/>
    </row>
    <row r="28" spans="3:12">
      <c r="L28" s="7"/>
    </row>
    <row r="29" spans="3:12">
      <c r="L29" s="7"/>
    </row>
    <row r="30" spans="3:12">
      <c r="L30" s="7"/>
    </row>
    <row r="31" spans="3:12">
      <c r="L31" s="7"/>
    </row>
  </sheetData>
  <sheetProtection selectLockedCells="1"/>
  <mergeCells count="27">
    <mergeCell ref="C18:G18"/>
    <mergeCell ref="C3:G3"/>
    <mergeCell ref="G10:G11"/>
    <mergeCell ref="C13:D13"/>
    <mergeCell ref="C14:D14"/>
    <mergeCell ref="C12:G12"/>
    <mergeCell ref="C1:G2"/>
    <mergeCell ref="C11:D11"/>
    <mergeCell ref="E4:E5"/>
    <mergeCell ref="G13:G14"/>
    <mergeCell ref="C7:D8"/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4" sqref="B4"/>
    </sheetView>
  </sheetViews>
  <sheetFormatPr defaultColWidth="8.7265625" defaultRowHeight="14.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>
      <c r="A1" s="9" t="s">
        <v>73</v>
      </c>
      <c r="B1" s="10" t="s">
        <v>165</v>
      </c>
      <c r="C1" s="10" t="s">
        <v>166</v>
      </c>
      <c r="D1" s="10" t="s">
        <v>167</v>
      </c>
    </row>
    <row r="2" spans="1:4">
      <c r="A2" s="11">
        <v>1</v>
      </c>
      <c r="B2" s="12" t="s">
        <v>285</v>
      </c>
      <c r="C2" s="13" t="s">
        <v>286</v>
      </c>
      <c r="D2" s="12"/>
    </row>
    <row r="3" spans="1:4">
      <c r="A3" s="11">
        <v>2</v>
      </c>
      <c r="B3" s="12" t="s">
        <v>287</v>
      </c>
      <c r="C3" s="13" t="s">
        <v>288</v>
      </c>
      <c r="D3" s="12"/>
    </row>
    <row r="4" spans="1:4">
      <c r="A4" s="11">
        <v>3</v>
      </c>
      <c r="B4" s="12" t="s">
        <v>289</v>
      </c>
      <c r="C4" s="13" t="s">
        <v>290</v>
      </c>
      <c r="D4" s="12"/>
    </row>
    <row r="5" spans="1:4">
      <c r="A5" s="11">
        <v>4</v>
      </c>
      <c r="B5" s="12" t="s">
        <v>291</v>
      </c>
      <c r="C5" s="13" t="s">
        <v>292</v>
      </c>
      <c r="D5" s="12"/>
    </row>
    <row r="6" spans="1:4">
      <c r="A6" s="11">
        <v>5</v>
      </c>
      <c r="B6" s="12" t="s">
        <v>293</v>
      </c>
      <c r="C6" s="13" t="s">
        <v>294</v>
      </c>
      <c r="D6" s="12"/>
    </row>
    <row r="7" spans="1:4">
      <c r="A7" s="11">
        <v>6</v>
      </c>
      <c r="B7" s="12" t="s">
        <v>295</v>
      </c>
      <c r="C7" s="13" t="s">
        <v>296</v>
      </c>
      <c r="D7" s="12"/>
    </row>
    <row r="8" spans="1:4">
      <c r="A8" s="11">
        <v>7</v>
      </c>
      <c r="B8" s="12" t="s">
        <v>297</v>
      </c>
      <c r="C8" s="13" t="s">
        <v>298</v>
      </c>
      <c r="D8" s="12"/>
    </row>
    <row r="9" spans="1:4">
      <c r="A9" s="11">
        <v>8</v>
      </c>
      <c r="B9" s="12" t="s">
        <v>299</v>
      </c>
      <c r="C9" s="13" t="s">
        <v>300</v>
      </c>
      <c r="D9" s="12"/>
    </row>
    <row r="10" spans="1:4">
      <c r="A10" s="11">
        <v>9</v>
      </c>
      <c r="B10" s="12" t="s">
        <v>301</v>
      </c>
      <c r="C10" s="13" t="s">
        <v>302</v>
      </c>
      <c r="D10" s="12"/>
    </row>
    <row r="11" spans="1:4">
      <c r="A11" s="11">
        <v>10</v>
      </c>
      <c r="B11" s="12" t="s">
        <v>303</v>
      </c>
      <c r="C11" s="13" t="s">
        <v>304</v>
      </c>
      <c r="D11" s="12"/>
    </row>
    <row r="12" spans="1:4">
      <c r="A12" s="11">
        <v>11</v>
      </c>
      <c r="B12" s="12" t="s">
        <v>305</v>
      </c>
      <c r="C12" s="13" t="s">
        <v>306</v>
      </c>
      <c r="D12" s="12"/>
    </row>
    <row r="13" spans="1:4">
      <c r="A13" s="11">
        <v>12</v>
      </c>
      <c r="B13" s="12" t="s">
        <v>307</v>
      </c>
      <c r="C13" s="13" t="s">
        <v>308</v>
      </c>
      <c r="D13" s="12"/>
    </row>
    <row r="14" spans="1:4">
      <c r="A14" s="11">
        <v>13</v>
      </c>
      <c r="B14" s="12" t="s">
        <v>309</v>
      </c>
      <c r="C14" s="13" t="s">
        <v>310</v>
      </c>
      <c r="D14" s="12"/>
    </row>
    <row r="15" spans="1:4">
      <c r="A15" s="11">
        <v>14</v>
      </c>
      <c r="B15" s="12" t="s">
        <v>311</v>
      </c>
      <c r="C15" s="13" t="s">
        <v>312</v>
      </c>
      <c r="D15" s="12"/>
    </row>
    <row r="16" spans="1:4">
      <c r="A16" s="11">
        <v>15</v>
      </c>
      <c r="B16" s="12" t="s">
        <v>313</v>
      </c>
      <c r="C16" s="13" t="s">
        <v>314</v>
      </c>
      <c r="D16" s="12"/>
    </row>
    <row r="17" spans="1:4">
      <c r="A17" s="11">
        <v>16</v>
      </c>
      <c r="B17" s="12" t="s">
        <v>315</v>
      </c>
      <c r="C17" s="13" t="s">
        <v>316</v>
      </c>
      <c r="D17" s="12"/>
    </row>
    <row r="18" spans="1:4">
      <c r="A18" s="11">
        <v>17</v>
      </c>
      <c r="B18" s="12" t="s">
        <v>317</v>
      </c>
      <c r="C18" s="13" t="s">
        <v>318</v>
      </c>
      <c r="D18" s="12"/>
    </row>
    <row r="19" spans="1:4">
      <c r="A19" s="11">
        <v>18</v>
      </c>
      <c r="B19" s="12" t="s">
        <v>319</v>
      </c>
      <c r="C19" s="13" t="s">
        <v>320</v>
      </c>
      <c r="D19" s="12"/>
    </row>
    <row r="20" spans="1:4">
      <c r="A20" s="11">
        <v>19</v>
      </c>
      <c r="B20" s="12" t="s">
        <v>321</v>
      </c>
      <c r="C20" s="13" t="s">
        <v>322</v>
      </c>
      <c r="D20" s="12"/>
    </row>
    <row r="21" spans="1:4">
      <c r="A21" s="11">
        <v>20</v>
      </c>
      <c r="B21" s="12" t="s">
        <v>323</v>
      </c>
      <c r="C21" s="13" t="s">
        <v>324</v>
      </c>
      <c r="D21" s="12"/>
    </row>
    <row r="22" spans="1:4">
      <c r="A22" s="11">
        <v>21</v>
      </c>
      <c r="B22" s="12" t="s">
        <v>325</v>
      </c>
      <c r="C22" s="13" t="s">
        <v>326</v>
      </c>
      <c r="D22" s="12"/>
    </row>
    <row r="23" spans="1:4">
      <c r="A23" s="11">
        <v>22</v>
      </c>
      <c r="B23" s="12" t="s">
        <v>327</v>
      </c>
      <c r="C23" s="13" t="s">
        <v>328</v>
      </c>
      <c r="D23" s="12"/>
    </row>
    <row r="24" spans="1:4">
      <c r="A24" s="11">
        <v>23</v>
      </c>
      <c r="B24" s="12" t="s">
        <v>329</v>
      </c>
      <c r="C24" s="13" t="s">
        <v>330</v>
      </c>
      <c r="D24" s="12"/>
    </row>
    <row r="25" spans="1:4">
      <c r="A25" s="11">
        <v>24</v>
      </c>
      <c r="B25" s="12" t="s">
        <v>331</v>
      </c>
      <c r="C25" s="13" t="s">
        <v>332</v>
      </c>
      <c r="D25" s="12"/>
    </row>
    <row r="26" spans="1:4">
      <c r="A26" s="11">
        <v>25</v>
      </c>
      <c r="B26" s="12" t="s">
        <v>333</v>
      </c>
      <c r="C26" s="13" t="s">
        <v>334</v>
      </c>
      <c r="D26" s="12"/>
    </row>
    <row r="27" spans="1:4">
      <c r="A27" s="11">
        <v>26</v>
      </c>
      <c r="B27" s="12" t="s">
        <v>335</v>
      </c>
      <c r="C27" s="13" t="s">
        <v>336</v>
      </c>
      <c r="D27" s="12"/>
    </row>
    <row r="28" spans="1:4">
      <c r="A28" s="11">
        <v>27</v>
      </c>
      <c r="B28" s="12" t="s">
        <v>337</v>
      </c>
      <c r="C28" s="13" t="s">
        <v>338</v>
      </c>
      <c r="D28" s="12"/>
    </row>
    <row r="29" spans="1:4">
      <c r="A29" s="11">
        <v>28</v>
      </c>
      <c r="B29" s="12" t="s">
        <v>339</v>
      </c>
      <c r="C29" s="13" t="s">
        <v>340</v>
      </c>
      <c r="D29" s="12"/>
    </row>
    <row r="30" spans="1:4">
      <c r="A30" s="11">
        <v>29</v>
      </c>
      <c r="B30" s="4" t="s">
        <v>341</v>
      </c>
      <c r="C30" s="14" t="s">
        <v>342</v>
      </c>
      <c r="D30" s="12"/>
    </row>
    <row r="31" spans="1:4">
      <c r="A31" s="11">
        <v>30</v>
      </c>
      <c r="B31" s="12" t="s">
        <v>343</v>
      </c>
      <c r="C31" s="12" t="s">
        <v>344</v>
      </c>
      <c r="D31" s="12"/>
    </row>
    <row r="32" spans="1:4">
      <c r="A32" s="11">
        <v>31</v>
      </c>
      <c r="B32" s="12"/>
      <c r="C32" s="12"/>
      <c r="D32" s="12"/>
    </row>
    <row r="33" spans="1:4">
      <c r="A33" s="11">
        <v>32</v>
      </c>
      <c r="B33" s="12"/>
      <c r="C33" s="12"/>
      <c r="D33" s="12"/>
    </row>
    <row r="34" spans="1:4">
      <c r="A34" s="11">
        <v>33</v>
      </c>
      <c r="B34" s="12"/>
      <c r="C34" s="12"/>
      <c r="D34" s="12"/>
    </row>
    <row r="35" spans="1:4">
      <c r="A35" s="11">
        <v>34</v>
      </c>
      <c r="B35" s="12"/>
      <c r="C35" s="12"/>
      <c r="D35" s="12"/>
    </row>
    <row r="36" spans="1:4">
      <c r="A36" s="11">
        <v>35</v>
      </c>
      <c r="B36" s="12"/>
      <c r="C36" s="12"/>
      <c r="D36" s="12"/>
    </row>
    <row r="37" spans="1:4">
      <c r="A37" s="11">
        <v>36</v>
      </c>
      <c r="B37" s="12"/>
      <c r="C37" s="12"/>
      <c r="D37" s="12"/>
    </row>
    <row r="38" spans="1:4">
      <c r="A38" s="11">
        <v>37</v>
      </c>
      <c r="B38" s="12"/>
      <c r="C38" s="12"/>
      <c r="D38" s="12"/>
    </row>
    <row r="39" spans="1:4">
      <c r="A39" s="11">
        <v>38</v>
      </c>
      <c r="B39" s="12"/>
      <c r="C39" s="12"/>
      <c r="D39" s="12"/>
    </row>
    <row r="40" spans="1:4">
      <c r="A40" s="11">
        <v>39</v>
      </c>
      <c r="B40" s="12"/>
      <c r="C40" s="12"/>
      <c r="D40" s="12"/>
    </row>
    <row r="41" spans="1:4">
      <c r="A41" s="11">
        <v>40</v>
      </c>
      <c r="B41" s="12"/>
      <c r="C41" s="12"/>
      <c r="D41" s="12"/>
    </row>
  </sheetData>
  <sheetProtection algorithmName="SHA-512" hashValue="8s8SHC8igPcjHKX1KeWvHRt5GcQ6Qccz9dvTOYndFLrW/iLckNDCIBpooohjJV3Q3RoPUORk/LN9EtrqYs0q8Q==" saltValue="HyKvuk3I/T9+LajUF+b3F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H41"/>
  <sheetViews>
    <sheetView topLeftCell="B1" zoomScaleNormal="100" workbookViewId="0">
      <selection activeCell="E3" sqref="E3"/>
    </sheetView>
  </sheetViews>
  <sheetFormatPr defaultColWidth="10" defaultRowHeight="14.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2" width="4.1796875" customWidth="1"/>
    <col min="33" max="33" width="8.453125" customWidth="1"/>
    <col min="34" max="34" width="7.7265625" style="15" customWidth="1"/>
  </cols>
  <sheetData>
    <row r="1" spans="1:34" ht="71.150000000000006" customHeight="1">
      <c r="A1" s="16" t="s">
        <v>73</v>
      </c>
      <c r="B1" s="10" t="s">
        <v>165</v>
      </c>
      <c r="C1" s="16" t="s">
        <v>52</v>
      </c>
      <c r="D1" s="17" t="s">
        <v>7</v>
      </c>
      <c r="E1" s="17" t="s">
        <v>9</v>
      </c>
      <c r="F1" s="17" t="s">
        <v>12</v>
      </c>
      <c r="G1" s="17" t="s">
        <v>54</v>
      </c>
      <c r="H1" s="17" t="s">
        <v>55</v>
      </c>
      <c r="I1" s="17" t="s">
        <v>56</v>
      </c>
      <c r="J1" s="17" t="s">
        <v>57</v>
      </c>
      <c r="K1" s="17" t="s">
        <v>58</v>
      </c>
      <c r="L1" s="17" t="s">
        <v>15</v>
      </c>
      <c r="M1" s="17" t="s">
        <v>16</v>
      </c>
      <c r="N1" s="17" t="s">
        <v>59</v>
      </c>
      <c r="O1" s="17" t="s">
        <v>60</v>
      </c>
      <c r="P1" s="17" t="s">
        <v>18</v>
      </c>
      <c r="Q1" s="17" t="s">
        <v>21</v>
      </c>
      <c r="R1" s="17" t="s">
        <v>61</v>
      </c>
      <c r="S1" s="17" t="s">
        <v>24</v>
      </c>
      <c r="T1" s="17" t="s">
        <v>27</v>
      </c>
      <c r="U1" s="17" t="s">
        <v>28</v>
      </c>
      <c r="V1" s="18" t="s">
        <v>62</v>
      </c>
      <c r="W1" s="18" t="s">
        <v>64</v>
      </c>
      <c r="X1" s="18" t="s">
        <v>65</v>
      </c>
      <c r="Y1" s="18" t="s">
        <v>66</v>
      </c>
      <c r="Z1" s="18" t="s">
        <v>67</v>
      </c>
      <c r="AA1" s="18" t="s">
        <v>68</v>
      </c>
      <c r="AB1" s="18" t="s">
        <v>69</v>
      </c>
      <c r="AC1" s="18" t="s">
        <v>70</v>
      </c>
      <c r="AD1" s="18" t="s">
        <v>71</v>
      </c>
      <c r="AE1" s="18" t="s">
        <v>72</v>
      </c>
      <c r="AF1" s="18" t="s">
        <v>74</v>
      </c>
      <c r="AG1" s="19" t="s">
        <v>75</v>
      </c>
      <c r="AH1" s="20" t="s">
        <v>142</v>
      </c>
    </row>
    <row r="2" spans="1:34" ht="15.5">
      <c r="A2" s="11">
        <f>'Data Siswa'!A2</f>
        <v>1</v>
      </c>
      <c r="B2" s="21" t="str">
        <f>'Data Siswa'!B2</f>
        <v>ALIFA RIZKIYAH</v>
      </c>
      <c r="C2" s="11" t="str">
        <f>'Data Siswa'!C2</f>
        <v>1097</v>
      </c>
      <c r="D2" s="22">
        <v>4.5</v>
      </c>
      <c r="E2" s="22">
        <v>4.5</v>
      </c>
      <c r="F2" s="22">
        <v>4.5</v>
      </c>
      <c r="G2" s="22">
        <v>5.5</v>
      </c>
      <c r="H2" s="22">
        <v>5</v>
      </c>
      <c r="I2" s="22">
        <v>4.8</v>
      </c>
      <c r="J2" s="22">
        <v>4</v>
      </c>
      <c r="K2" s="22">
        <v>5</v>
      </c>
      <c r="L2" s="22">
        <v>7</v>
      </c>
      <c r="M2" s="22">
        <v>5.5</v>
      </c>
      <c r="N2" s="22">
        <v>5</v>
      </c>
      <c r="O2" s="22">
        <v>4</v>
      </c>
      <c r="P2" s="22">
        <v>4</v>
      </c>
      <c r="Q2" s="22">
        <v>5</v>
      </c>
      <c r="R2" s="22">
        <v>5</v>
      </c>
      <c r="S2" s="22">
        <v>5.5</v>
      </c>
      <c r="T2" s="22">
        <v>8</v>
      </c>
      <c r="U2" s="22">
        <v>7</v>
      </c>
      <c r="V2" s="22">
        <v>7.5</v>
      </c>
      <c r="W2" s="22">
        <v>7.5</v>
      </c>
      <c r="X2" s="22">
        <v>7.5</v>
      </c>
      <c r="Y2" s="117"/>
      <c r="Z2" s="117"/>
      <c r="AA2" s="117"/>
      <c r="AB2" s="22">
        <v>7.8</v>
      </c>
      <c r="AC2" s="22">
        <v>6.5</v>
      </c>
      <c r="AD2" s="22">
        <v>6.5</v>
      </c>
      <c r="AE2" s="22">
        <v>8</v>
      </c>
      <c r="AF2" s="22">
        <v>8</v>
      </c>
      <c r="AG2" s="23">
        <f t="shared" ref="AG2:AG41" si="0">SUM(D2:AF2)</f>
        <v>153.1</v>
      </c>
      <c r="AH2" s="24">
        <f>AVERAGE(D2:AF2)</f>
        <v>5.888461538461538</v>
      </c>
    </row>
    <row r="3" spans="1:34" ht="15.5">
      <c r="A3" s="11">
        <f>'Data Siswa'!A3</f>
        <v>2</v>
      </c>
      <c r="B3" s="21" t="str">
        <f>'Data Siswa'!B3</f>
        <v xml:space="preserve">ASSYIFA RAHMAWATI  </v>
      </c>
      <c r="C3" s="11" t="str">
        <f>'Data Siswa'!C3</f>
        <v>1098</v>
      </c>
      <c r="D3" s="22"/>
      <c r="E3" s="22"/>
      <c r="F3" s="22"/>
      <c r="G3" s="22"/>
      <c r="H3" s="22">
        <v>4.5</v>
      </c>
      <c r="I3" s="22">
        <v>4</v>
      </c>
      <c r="J3" s="22">
        <v>4</v>
      </c>
      <c r="K3" s="22"/>
      <c r="L3" s="22">
        <v>6.5</v>
      </c>
      <c r="M3" s="22">
        <v>5</v>
      </c>
      <c r="N3" s="22">
        <v>5</v>
      </c>
      <c r="O3" s="22"/>
      <c r="P3" s="22">
        <v>4</v>
      </c>
      <c r="Q3" s="22">
        <v>6</v>
      </c>
      <c r="R3" s="22">
        <v>5</v>
      </c>
      <c r="S3" s="22">
        <v>6.5</v>
      </c>
      <c r="T3" s="22">
        <v>8</v>
      </c>
      <c r="U3" s="22">
        <v>7</v>
      </c>
      <c r="V3" s="22">
        <v>8.1999999999999993</v>
      </c>
      <c r="W3" s="22"/>
      <c r="X3" s="22">
        <v>8</v>
      </c>
      <c r="Y3" s="117"/>
      <c r="Z3" s="117"/>
      <c r="AA3" s="117"/>
      <c r="AB3" s="22"/>
      <c r="AC3" s="22">
        <v>6</v>
      </c>
      <c r="AD3" s="22">
        <v>6.5</v>
      </c>
      <c r="AE3" s="22">
        <v>8.3000000000000007</v>
      </c>
      <c r="AF3" s="22"/>
      <c r="AG3" s="23">
        <f t="shared" si="0"/>
        <v>102.5</v>
      </c>
      <c r="AH3" s="24">
        <f t="shared" ref="AH3:AH41" si="1">AVERAGE(D3:AF3)</f>
        <v>6.0294117647058822</v>
      </c>
    </row>
    <row r="4" spans="1:34" ht="15.5">
      <c r="A4" s="11">
        <f>'Data Siswa'!A4</f>
        <v>3</v>
      </c>
      <c r="B4" s="21" t="str">
        <f>'Data Siswa'!B4</f>
        <v>ATHIRA PUTRI TAZKIAH</v>
      </c>
      <c r="C4" s="11" t="str">
        <f>'Data Siswa'!C4</f>
        <v>1099</v>
      </c>
      <c r="D4" s="22"/>
      <c r="E4" s="22">
        <v>4.5</v>
      </c>
      <c r="F4" s="22">
        <v>5.5</v>
      </c>
      <c r="G4" s="22">
        <v>5</v>
      </c>
      <c r="H4" s="22">
        <v>4.5</v>
      </c>
      <c r="I4" s="22">
        <v>4</v>
      </c>
      <c r="J4" s="22">
        <v>4</v>
      </c>
      <c r="K4" s="22"/>
      <c r="L4" s="22">
        <v>7</v>
      </c>
      <c r="M4" s="22">
        <v>6</v>
      </c>
      <c r="N4" s="22">
        <v>5</v>
      </c>
      <c r="O4" s="22">
        <v>4</v>
      </c>
      <c r="P4" s="22">
        <v>5</v>
      </c>
      <c r="Q4" s="22"/>
      <c r="R4" s="22">
        <v>5</v>
      </c>
      <c r="S4" s="22"/>
      <c r="T4" s="22">
        <v>8</v>
      </c>
      <c r="U4" s="22">
        <v>7</v>
      </c>
      <c r="V4" s="22">
        <v>8.4</v>
      </c>
      <c r="W4" s="22">
        <v>7.5</v>
      </c>
      <c r="X4" s="22">
        <v>8</v>
      </c>
      <c r="Y4" s="117"/>
      <c r="Z4" s="117"/>
      <c r="AA4" s="117"/>
      <c r="AB4" s="22"/>
      <c r="AC4" s="22">
        <v>6</v>
      </c>
      <c r="AD4" s="22">
        <v>7.3</v>
      </c>
      <c r="AE4" s="22">
        <v>8</v>
      </c>
      <c r="AF4" s="22">
        <v>8</v>
      </c>
      <c r="AG4" s="23">
        <f t="shared" si="0"/>
        <v>127.7</v>
      </c>
      <c r="AH4" s="24">
        <f t="shared" si="1"/>
        <v>6.0809523809523807</v>
      </c>
    </row>
    <row r="5" spans="1:34" ht="15.5">
      <c r="A5" s="11">
        <f>'Data Siswa'!A5</f>
        <v>4</v>
      </c>
      <c r="B5" s="21" t="str">
        <f>'Data Siswa'!B5</f>
        <v>AYU FITRI RAMADHANI</v>
      </c>
      <c r="C5" s="11" t="str">
        <f>'Data Siswa'!C5</f>
        <v>1100</v>
      </c>
      <c r="D5" s="22">
        <v>4.5</v>
      </c>
      <c r="E5" s="22">
        <v>4</v>
      </c>
      <c r="F5" s="22">
        <v>6</v>
      </c>
      <c r="G5" s="22">
        <v>5</v>
      </c>
      <c r="H5" s="22">
        <v>4.5</v>
      </c>
      <c r="I5" s="22">
        <v>4.2</v>
      </c>
      <c r="J5" s="22">
        <v>4</v>
      </c>
      <c r="K5" s="22">
        <v>4</v>
      </c>
      <c r="L5" s="22">
        <v>5</v>
      </c>
      <c r="M5" s="22">
        <v>5</v>
      </c>
      <c r="N5" s="22">
        <v>5</v>
      </c>
      <c r="O5" s="22">
        <v>4</v>
      </c>
      <c r="P5" s="22">
        <v>4.5</v>
      </c>
      <c r="Q5" s="22">
        <v>4</v>
      </c>
      <c r="R5" s="22">
        <v>5</v>
      </c>
      <c r="S5" s="22">
        <v>5</v>
      </c>
      <c r="T5" s="22">
        <v>8</v>
      </c>
      <c r="U5" s="22">
        <v>8</v>
      </c>
      <c r="V5" s="22">
        <v>8</v>
      </c>
      <c r="W5" s="22">
        <v>7.5</v>
      </c>
      <c r="X5" s="22">
        <v>8</v>
      </c>
      <c r="Y5" s="117"/>
      <c r="Z5" s="117"/>
      <c r="AA5" s="117"/>
      <c r="AB5" s="22">
        <v>8.1999999999999993</v>
      </c>
      <c r="AC5" s="22">
        <v>6.5</v>
      </c>
      <c r="AD5" s="22">
        <v>7.8</v>
      </c>
      <c r="AE5" s="22">
        <v>8</v>
      </c>
      <c r="AF5" s="22">
        <v>8.1999999999999993</v>
      </c>
      <c r="AG5" s="23">
        <f t="shared" si="0"/>
        <v>151.9</v>
      </c>
      <c r="AH5" s="24">
        <f t="shared" si="1"/>
        <v>5.8423076923076929</v>
      </c>
    </row>
    <row r="6" spans="1:34" ht="15.5">
      <c r="A6" s="11">
        <f>'Data Siswa'!A6</f>
        <v>5</v>
      </c>
      <c r="B6" s="21" t="str">
        <f>'Data Siswa'!B6</f>
        <v>BUNGA AULIA</v>
      </c>
      <c r="C6" s="11" t="str">
        <f>'Data Siswa'!C6</f>
        <v>1101</v>
      </c>
      <c r="D6" s="22">
        <v>4.5</v>
      </c>
      <c r="E6" s="22">
        <v>5</v>
      </c>
      <c r="F6" s="22">
        <v>4</v>
      </c>
      <c r="G6" s="22">
        <v>4.5</v>
      </c>
      <c r="H6" s="22">
        <v>4</v>
      </c>
      <c r="I6" s="22">
        <v>4.4000000000000004</v>
      </c>
      <c r="J6" s="22">
        <v>4</v>
      </c>
      <c r="K6" s="22">
        <v>4</v>
      </c>
      <c r="L6" s="22">
        <v>5</v>
      </c>
      <c r="M6" s="22">
        <v>4</v>
      </c>
      <c r="N6" s="22">
        <v>5</v>
      </c>
      <c r="O6" s="22">
        <v>5</v>
      </c>
      <c r="P6" s="22">
        <v>4</v>
      </c>
      <c r="Q6" s="22">
        <v>4</v>
      </c>
      <c r="R6" s="22">
        <v>5</v>
      </c>
      <c r="S6" s="22">
        <v>4</v>
      </c>
      <c r="T6" s="22">
        <v>8</v>
      </c>
      <c r="U6" s="22">
        <v>7</v>
      </c>
      <c r="V6" s="22">
        <v>7.5</v>
      </c>
      <c r="W6" s="22">
        <v>7.5</v>
      </c>
      <c r="X6" s="22">
        <v>7.5</v>
      </c>
      <c r="Y6" s="117"/>
      <c r="Z6" s="117"/>
      <c r="AA6" s="117"/>
      <c r="AB6" s="22">
        <v>8.1999999999999993</v>
      </c>
      <c r="AC6" s="22">
        <v>7</v>
      </c>
      <c r="AD6" s="22">
        <v>8</v>
      </c>
      <c r="AE6" s="22">
        <v>8</v>
      </c>
      <c r="AF6" s="22">
        <v>8</v>
      </c>
      <c r="AG6" s="23">
        <f t="shared" si="0"/>
        <v>147.10000000000002</v>
      </c>
      <c r="AH6" s="24">
        <f t="shared" si="1"/>
        <v>5.6576923076923089</v>
      </c>
    </row>
    <row r="7" spans="1:34" ht="15.5">
      <c r="A7" s="11">
        <f>'Data Siswa'!A7</f>
        <v>6</v>
      </c>
      <c r="B7" s="21" t="str">
        <f>'Data Siswa'!B7</f>
        <v>DINA LAURA</v>
      </c>
      <c r="C7" s="11" t="str">
        <f>'Data Siswa'!C7</f>
        <v>1102</v>
      </c>
      <c r="D7" s="22">
        <v>6.5</v>
      </c>
      <c r="E7" s="22">
        <v>6.5</v>
      </c>
      <c r="F7" s="22">
        <v>7</v>
      </c>
      <c r="G7" s="22">
        <v>8</v>
      </c>
      <c r="H7" s="22">
        <v>4.5</v>
      </c>
      <c r="I7" s="22">
        <v>5</v>
      </c>
      <c r="J7" s="22">
        <v>4.5</v>
      </c>
      <c r="K7" s="22">
        <v>6.5</v>
      </c>
      <c r="L7" s="22">
        <v>6</v>
      </c>
      <c r="M7" s="22">
        <v>6</v>
      </c>
      <c r="N7" s="22">
        <v>5</v>
      </c>
      <c r="O7" s="22">
        <v>5.5</v>
      </c>
      <c r="P7" s="22">
        <v>5</v>
      </c>
      <c r="Q7" s="22">
        <v>5</v>
      </c>
      <c r="R7" s="22">
        <v>5</v>
      </c>
      <c r="S7" s="22">
        <v>5.5</v>
      </c>
      <c r="T7" s="22">
        <v>8</v>
      </c>
      <c r="U7" s="22">
        <v>7</v>
      </c>
      <c r="V7" s="22">
        <v>8</v>
      </c>
      <c r="W7" s="22">
        <v>7.5</v>
      </c>
      <c r="X7" s="22">
        <v>7.5</v>
      </c>
      <c r="Y7" s="117"/>
      <c r="Z7" s="117"/>
      <c r="AA7" s="117"/>
      <c r="AB7" s="22">
        <v>8</v>
      </c>
      <c r="AC7" s="22">
        <v>6</v>
      </c>
      <c r="AD7" s="22">
        <v>7.5</v>
      </c>
      <c r="AE7" s="22">
        <v>8.1999999999999993</v>
      </c>
      <c r="AF7" s="22">
        <v>8</v>
      </c>
      <c r="AG7" s="23">
        <f t="shared" si="0"/>
        <v>167.2</v>
      </c>
      <c r="AH7" s="24">
        <f t="shared" si="1"/>
        <v>6.4307692307692301</v>
      </c>
    </row>
    <row r="8" spans="1:34" ht="15.5">
      <c r="A8" s="11">
        <f>'Data Siswa'!A8</f>
        <v>7</v>
      </c>
      <c r="B8" s="21" t="str">
        <f>'Data Siswa'!B8</f>
        <v>EVI OKTAVIANI</v>
      </c>
      <c r="C8" s="11" t="str">
        <f>'Data Siswa'!C8</f>
        <v>1103</v>
      </c>
      <c r="D8" s="22">
        <v>6.5</v>
      </c>
      <c r="E8" s="22">
        <v>6.5</v>
      </c>
      <c r="F8" s="22">
        <v>8</v>
      </c>
      <c r="G8" s="22">
        <v>8</v>
      </c>
      <c r="H8" s="22">
        <v>5.5</v>
      </c>
      <c r="I8" s="22">
        <v>6</v>
      </c>
      <c r="J8" s="22">
        <v>5.5</v>
      </c>
      <c r="K8" s="22">
        <v>7.5</v>
      </c>
      <c r="L8" s="22">
        <v>6</v>
      </c>
      <c r="M8" s="22">
        <v>6</v>
      </c>
      <c r="N8" s="22">
        <v>6.5</v>
      </c>
      <c r="O8" s="22">
        <v>4</v>
      </c>
      <c r="P8" s="22">
        <v>7</v>
      </c>
      <c r="Q8" s="22">
        <v>6.5</v>
      </c>
      <c r="R8" s="22">
        <v>5</v>
      </c>
      <c r="S8" s="22">
        <v>6.5</v>
      </c>
      <c r="T8" s="22">
        <v>8</v>
      </c>
      <c r="U8" s="22">
        <v>7</v>
      </c>
      <c r="V8" s="22">
        <v>8.4</v>
      </c>
      <c r="W8" s="22">
        <v>8</v>
      </c>
      <c r="X8" s="22">
        <v>8.5</v>
      </c>
      <c r="Y8" s="117"/>
      <c r="Z8" s="117"/>
      <c r="AA8" s="117"/>
      <c r="AB8" s="22">
        <v>8.6</v>
      </c>
      <c r="AC8" s="22">
        <v>6.5</v>
      </c>
      <c r="AD8" s="22">
        <v>8.5</v>
      </c>
      <c r="AE8" s="22">
        <v>8</v>
      </c>
      <c r="AF8" s="22">
        <v>8.3000000000000007</v>
      </c>
      <c r="AG8" s="23">
        <f t="shared" si="0"/>
        <v>180.8</v>
      </c>
      <c r="AH8" s="24">
        <f t="shared" si="1"/>
        <v>6.953846153846154</v>
      </c>
    </row>
    <row r="9" spans="1:34" ht="15.5">
      <c r="A9" s="11">
        <f>'Data Siswa'!A9</f>
        <v>8</v>
      </c>
      <c r="B9" s="21" t="str">
        <f>'Data Siswa'!B9</f>
        <v>INDAH MAELANI</v>
      </c>
      <c r="C9" s="11" t="str">
        <f>'Data Siswa'!C9</f>
        <v>1104</v>
      </c>
      <c r="D9" s="22">
        <v>5.5</v>
      </c>
      <c r="E9" s="22">
        <v>4</v>
      </c>
      <c r="F9" s="22">
        <v>5.5</v>
      </c>
      <c r="G9" s="22">
        <v>5</v>
      </c>
      <c r="H9" s="22">
        <v>5.5</v>
      </c>
      <c r="I9" s="22">
        <v>4.4000000000000004</v>
      </c>
      <c r="J9" s="22">
        <v>4</v>
      </c>
      <c r="K9" s="22">
        <v>4.5</v>
      </c>
      <c r="L9" s="22">
        <v>5.5</v>
      </c>
      <c r="M9" s="22">
        <v>5.5</v>
      </c>
      <c r="N9" s="22">
        <v>5</v>
      </c>
      <c r="O9" s="22">
        <v>4</v>
      </c>
      <c r="P9" s="22">
        <v>4</v>
      </c>
      <c r="Q9" s="22">
        <v>4</v>
      </c>
      <c r="R9" s="22">
        <v>5</v>
      </c>
      <c r="S9" s="22">
        <v>5.5</v>
      </c>
      <c r="T9" s="22">
        <v>8</v>
      </c>
      <c r="U9" s="22">
        <v>7</v>
      </c>
      <c r="V9" s="22">
        <v>7.8</v>
      </c>
      <c r="W9" s="22">
        <v>7.5</v>
      </c>
      <c r="X9" s="22">
        <v>7.5</v>
      </c>
      <c r="Y9" s="117"/>
      <c r="Z9" s="117"/>
      <c r="AA9" s="117"/>
      <c r="AB9" s="22">
        <v>7.7</v>
      </c>
      <c r="AC9" s="22">
        <v>6.5</v>
      </c>
      <c r="AD9" s="22">
        <v>7</v>
      </c>
      <c r="AE9" s="22">
        <v>8.5</v>
      </c>
      <c r="AF9" s="22">
        <v>8.8000000000000007</v>
      </c>
      <c r="AG9" s="23">
        <f t="shared" si="0"/>
        <v>153.20000000000002</v>
      </c>
      <c r="AH9" s="24">
        <f t="shared" si="1"/>
        <v>5.8923076923076927</v>
      </c>
    </row>
    <row r="10" spans="1:34" ht="15.5">
      <c r="A10" s="11">
        <f>'Data Siswa'!A10</f>
        <v>9</v>
      </c>
      <c r="B10" s="21" t="str">
        <f>'Data Siswa'!B10</f>
        <v>MAR'AH AINUN NABILAH</v>
      </c>
      <c r="C10" s="11" t="str">
        <f>'Data Siswa'!C10</f>
        <v>1105</v>
      </c>
      <c r="D10" s="22">
        <v>4.5</v>
      </c>
      <c r="E10" s="22">
        <v>5</v>
      </c>
      <c r="F10" s="22">
        <v>5.5</v>
      </c>
      <c r="G10" s="22">
        <v>6</v>
      </c>
      <c r="H10" s="22">
        <v>5</v>
      </c>
      <c r="I10" s="22">
        <v>4.2</v>
      </c>
      <c r="J10" s="22">
        <v>4</v>
      </c>
      <c r="K10" s="22">
        <v>4</v>
      </c>
      <c r="L10" s="22">
        <v>5</v>
      </c>
      <c r="M10" s="22">
        <v>5</v>
      </c>
      <c r="N10" s="22">
        <v>5</v>
      </c>
      <c r="O10" s="22">
        <v>5</v>
      </c>
      <c r="P10" s="22">
        <v>4.5</v>
      </c>
      <c r="Q10" s="22">
        <v>5</v>
      </c>
      <c r="R10" s="22">
        <v>5</v>
      </c>
      <c r="S10" s="22">
        <v>6.5</v>
      </c>
      <c r="T10" s="22">
        <v>8</v>
      </c>
      <c r="U10" s="22">
        <v>7</v>
      </c>
      <c r="V10" s="22">
        <v>8</v>
      </c>
      <c r="W10" s="22">
        <v>7.5</v>
      </c>
      <c r="X10" s="22">
        <v>8.5</v>
      </c>
      <c r="Y10" s="117"/>
      <c r="Z10" s="117"/>
      <c r="AA10" s="117"/>
      <c r="AB10" s="22">
        <v>7.6</v>
      </c>
      <c r="AC10" s="22">
        <v>6</v>
      </c>
      <c r="AD10" s="22">
        <v>7.5</v>
      </c>
      <c r="AE10" s="22">
        <v>8.5</v>
      </c>
      <c r="AF10" s="22">
        <v>8.1999999999999993</v>
      </c>
      <c r="AG10" s="23">
        <f t="shared" si="0"/>
        <v>156</v>
      </c>
      <c r="AH10" s="24">
        <f t="shared" si="1"/>
        <v>6</v>
      </c>
    </row>
    <row r="11" spans="1:34" ht="15.5">
      <c r="A11" s="11">
        <f>'Data Siswa'!A11</f>
        <v>10</v>
      </c>
      <c r="B11" s="21" t="str">
        <f>'Data Siswa'!B11</f>
        <v>MUTIARA INDAH PRATIWI</v>
      </c>
      <c r="C11" s="11" t="str">
        <f>'Data Siswa'!C11</f>
        <v>1106</v>
      </c>
      <c r="D11" s="22">
        <v>4.5</v>
      </c>
      <c r="E11" s="22">
        <v>5</v>
      </c>
      <c r="F11" s="22">
        <v>6</v>
      </c>
      <c r="G11" s="22">
        <v>5</v>
      </c>
      <c r="H11" s="22">
        <v>5</v>
      </c>
      <c r="I11" s="22">
        <v>4.8</v>
      </c>
      <c r="J11" s="22">
        <v>4</v>
      </c>
      <c r="K11" s="22">
        <v>4</v>
      </c>
      <c r="L11" s="22">
        <v>6</v>
      </c>
      <c r="M11" s="22">
        <v>5</v>
      </c>
      <c r="N11" s="22">
        <v>5</v>
      </c>
      <c r="O11" s="22">
        <v>4</v>
      </c>
      <c r="P11" s="22">
        <v>5</v>
      </c>
      <c r="Q11" s="22">
        <v>5.5</v>
      </c>
      <c r="R11" s="22">
        <v>5</v>
      </c>
      <c r="S11" s="22">
        <v>6</v>
      </c>
      <c r="T11" s="22">
        <v>8</v>
      </c>
      <c r="U11" s="22">
        <v>7</v>
      </c>
      <c r="V11" s="22">
        <v>7.5</v>
      </c>
      <c r="W11" s="22">
        <v>7.5</v>
      </c>
      <c r="X11" s="22">
        <v>8.5</v>
      </c>
      <c r="Y11" s="117"/>
      <c r="Z11" s="117"/>
      <c r="AA11" s="117"/>
      <c r="AB11" s="22">
        <v>7.8</v>
      </c>
      <c r="AC11" s="22">
        <v>6</v>
      </c>
      <c r="AD11" s="22">
        <v>7</v>
      </c>
      <c r="AE11" s="22">
        <v>8.1999999999999993</v>
      </c>
      <c r="AF11" s="22">
        <v>8</v>
      </c>
      <c r="AG11" s="23">
        <f t="shared" si="0"/>
        <v>155.29999999999998</v>
      </c>
      <c r="AH11" s="24">
        <f t="shared" si="1"/>
        <v>5.9730769230769223</v>
      </c>
    </row>
    <row r="12" spans="1:34" ht="15.5">
      <c r="A12" s="11">
        <f>'Data Siswa'!A12</f>
        <v>11</v>
      </c>
      <c r="B12" s="21" t="str">
        <f>'Data Siswa'!B12</f>
        <v>NAILA RIZKI ARABELA</v>
      </c>
      <c r="C12" s="11" t="str">
        <f>'Data Siswa'!C12</f>
        <v>1107</v>
      </c>
      <c r="D12" s="22">
        <v>4.5</v>
      </c>
      <c r="E12" s="22">
        <v>4</v>
      </c>
      <c r="F12" s="22">
        <v>6</v>
      </c>
      <c r="G12" s="22">
        <v>5</v>
      </c>
      <c r="H12" s="22">
        <v>4.5</v>
      </c>
      <c r="I12" s="22">
        <v>4.2</v>
      </c>
      <c r="J12" s="22">
        <v>4</v>
      </c>
      <c r="K12" s="22">
        <v>4</v>
      </c>
      <c r="L12" s="22">
        <v>6</v>
      </c>
      <c r="M12" s="22">
        <v>5</v>
      </c>
      <c r="N12" s="22">
        <v>5</v>
      </c>
      <c r="O12" s="22">
        <v>4</v>
      </c>
      <c r="P12" s="22">
        <v>4.5</v>
      </c>
      <c r="Q12" s="22">
        <v>5</v>
      </c>
      <c r="R12" s="22">
        <v>5</v>
      </c>
      <c r="S12" s="22">
        <v>5</v>
      </c>
      <c r="T12" s="22">
        <v>8</v>
      </c>
      <c r="U12" s="22">
        <v>7</v>
      </c>
      <c r="V12" s="22">
        <v>7.5</v>
      </c>
      <c r="W12" s="22">
        <v>7.5</v>
      </c>
      <c r="X12" s="22">
        <v>8.5</v>
      </c>
      <c r="Y12" s="117"/>
      <c r="Z12" s="117"/>
      <c r="AA12" s="117"/>
      <c r="AB12" s="22">
        <v>8.1</v>
      </c>
      <c r="AC12" s="22">
        <v>6</v>
      </c>
      <c r="AD12" s="22">
        <v>8</v>
      </c>
      <c r="AE12" s="22">
        <v>8.1</v>
      </c>
      <c r="AF12" s="22">
        <v>8</v>
      </c>
      <c r="AG12" s="23">
        <f t="shared" si="0"/>
        <v>152.4</v>
      </c>
      <c r="AH12" s="24">
        <f t="shared" si="1"/>
        <v>5.861538461538462</v>
      </c>
    </row>
    <row r="13" spans="1:34" ht="15.5">
      <c r="A13" s="11">
        <f>'Data Siswa'!A13</f>
        <v>12</v>
      </c>
      <c r="B13" s="21" t="str">
        <f>'Data Siswa'!B13</f>
        <v>NAILA SEPTIANI</v>
      </c>
      <c r="C13" s="11" t="str">
        <f>'Data Siswa'!C13</f>
        <v>1108</v>
      </c>
      <c r="D13" s="22">
        <v>6</v>
      </c>
      <c r="E13" s="22">
        <v>6.5</v>
      </c>
      <c r="F13" s="22">
        <v>7</v>
      </c>
      <c r="G13" s="22">
        <v>6</v>
      </c>
      <c r="H13" s="22">
        <v>4.5</v>
      </c>
      <c r="I13" s="22">
        <v>5</v>
      </c>
      <c r="J13" s="22">
        <v>4</v>
      </c>
      <c r="K13" s="22">
        <v>4</v>
      </c>
      <c r="L13" s="22">
        <v>6</v>
      </c>
      <c r="M13" s="22">
        <v>5</v>
      </c>
      <c r="N13" s="22">
        <v>5</v>
      </c>
      <c r="O13" s="22">
        <v>5.5</v>
      </c>
      <c r="P13" s="22">
        <v>6</v>
      </c>
      <c r="Q13" s="22">
        <v>6.5</v>
      </c>
      <c r="R13" s="22">
        <v>5</v>
      </c>
      <c r="S13" s="22">
        <v>5.5</v>
      </c>
      <c r="T13" s="22">
        <v>8</v>
      </c>
      <c r="U13" s="22">
        <v>8</v>
      </c>
      <c r="V13" s="22">
        <v>7.8</v>
      </c>
      <c r="W13" s="22">
        <v>7.5</v>
      </c>
      <c r="X13" s="22">
        <v>8</v>
      </c>
      <c r="Y13" s="117"/>
      <c r="Z13" s="117"/>
      <c r="AA13" s="117"/>
      <c r="AB13" s="22">
        <v>8.1</v>
      </c>
      <c r="AC13" s="22">
        <v>7</v>
      </c>
      <c r="AD13" s="22">
        <v>8</v>
      </c>
      <c r="AE13" s="22">
        <v>8.1</v>
      </c>
      <c r="AF13" s="22">
        <v>8</v>
      </c>
      <c r="AG13" s="23">
        <f t="shared" si="0"/>
        <v>166</v>
      </c>
      <c r="AH13" s="24">
        <f t="shared" si="1"/>
        <v>6.384615384615385</v>
      </c>
    </row>
    <row r="14" spans="1:34" ht="15.5">
      <c r="A14" s="11">
        <f>'Data Siswa'!A14</f>
        <v>13</v>
      </c>
      <c r="B14" s="21" t="str">
        <f>'Data Siswa'!B14</f>
        <v>NURUL ANNISA HARAHAP</v>
      </c>
      <c r="C14" s="11" t="str">
        <f>'Data Siswa'!C14</f>
        <v>1109</v>
      </c>
      <c r="D14" s="22">
        <v>6.5</v>
      </c>
      <c r="E14" s="22">
        <v>5.5</v>
      </c>
      <c r="F14" s="22">
        <v>8</v>
      </c>
      <c r="G14" s="22">
        <v>7</v>
      </c>
      <c r="H14" s="22">
        <v>5</v>
      </c>
      <c r="I14" s="22">
        <v>5.2</v>
      </c>
      <c r="J14" s="22">
        <v>5.5</v>
      </c>
      <c r="K14" s="22">
        <v>6.5</v>
      </c>
      <c r="L14" s="22">
        <v>6</v>
      </c>
      <c r="M14" s="22">
        <v>5.5</v>
      </c>
      <c r="N14" s="22">
        <v>5</v>
      </c>
      <c r="O14" s="22">
        <v>7</v>
      </c>
      <c r="P14" s="22">
        <v>7</v>
      </c>
      <c r="Q14" s="22">
        <v>6</v>
      </c>
      <c r="R14" s="22">
        <v>5</v>
      </c>
      <c r="S14" s="22">
        <v>7</v>
      </c>
      <c r="T14" s="22">
        <v>8</v>
      </c>
      <c r="U14" s="22">
        <v>7</v>
      </c>
      <c r="V14" s="22">
        <v>8</v>
      </c>
      <c r="W14" s="22">
        <v>7.5</v>
      </c>
      <c r="X14" s="22">
        <v>8</v>
      </c>
      <c r="Y14" s="117"/>
      <c r="Z14" s="117"/>
      <c r="AA14" s="117"/>
      <c r="AB14" s="22">
        <v>8.1999999999999993</v>
      </c>
      <c r="AC14" s="22">
        <v>6.5</v>
      </c>
      <c r="AD14" s="22">
        <v>7.8</v>
      </c>
      <c r="AE14" s="22">
        <v>8.3000000000000007</v>
      </c>
      <c r="AF14" s="22">
        <v>8</v>
      </c>
      <c r="AG14" s="23">
        <f t="shared" si="0"/>
        <v>175</v>
      </c>
      <c r="AH14" s="24">
        <f t="shared" si="1"/>
        <v>6.7307692307692308</v>
      </c>
    </row>
    <row r="15" spans="1:34" ht="15.5">
      <c r="A15" s="11">
        <f>'Data Siswa'!A15</f>
        <v>14</v>
      </c>
      <c r="B15" s="21" t="str">
        <f>'Data Siswa'!B15</f>
        <v>RATU NUR ERISYA RADESTA</v>
      </c>
      <c r="C15" s="11" t="str">
        <f>'Data Siswa'!C15</f>
        <v>1110</v>
      </c>
      <c r="D15" s="22">
        <v>6</v>
      </c>
      <c r="E15" s="22">
        <v>4</v>
      </c>
      <c r="F15" s="22">
        <v>6</v>
      </c>
      <c r="G15" s="22">
        <v>5</v>
      </c>
      <c r="H15" s="22">
        <v>4</v>
      </c>
      <c r="I15" s="22">
        <v>5</v>
      </c>
      <c r="J15" s="22">
        <v>4</v>
      </c>
      <c r="K15" s="22">
        <v>4</v>
      </c>
      <c r="L15" s="22">
        <v>4.5</v>
      </c>
      <c r="M15" s="22">
        <v>4.5</v>
      </c>
      <c r="N15" s="22">
        <v>5</v>
      </c>
      <c r="O15" s="22">
        <v>4</v>
      </c>
      <c r="P15" s="22">
        <v>4.5</v>
      </c>
      <c r="Q15" s="22">
        <v>7</v>
      </c>
      <c r="R15" s="22">
        <v>5</v>
      </c>
      <c r="S15" s="22">
        <v>4</v>
      </c>
      <c r="T15" s="22">
        <v>8</v>
      </c>
      <c r="U15" s="22">
        <v>8</v>
      </c>
      <c r="V15" s="22">
        <v>7.5</v>
      </c>
      <c r="W15" s="22">
        <v>7.5</v>
      </c>
      <c r="X15" s="22">
        <v>8</v>
      </c>
      <c r="Y15" s="117"/>
      <c r="Z15" s="117"/>
      <c r="AA15" s="117"/>
      <c r="AB15" s="22">
        <v>8.1</v>
      </c>
      <c r="AC15" s="22">
        <v>6</v>
      </c>
      <c r="AD15" s="22">
        <v>7</v>
      </c>
      <c r="AE15" s="22">
        <v>8.1999999999999993</v>
      </c>
      <c r="AF15" s="22">
        <v>8</v>
      </c>
      <c r="AG15" s="23">
        <f t="shared" si="0"/>
        <v>152.79999999999998</v>
      </c>
      <c r="AH15" s="24">
        <f t="shared" si="1"/>
        <v>5.8769230769230765</v>
      </c>
    </row>
    <row r="16" spans="1:34" ht="15.5">
      <c r="A16" s="11">
        <f>'Data Siswa'!A16</f>
        <v>15</v>
      </c>
      <c r="B16" s="21" t="str">
        <f>'Data Siswa'!B16</f>
        <v>RISMA YANTI MAESARAH</v>
      </c>
      <c r="C16" s="11" t="str">
        <f>'Data Siswa'!C16</f>
        <v>1111</v>
      </c>
      <c r="D16" s="22">
        <v>5.5</v>
      </c>
      <c r="E16" s="22">
        <v>4</v>
      </c>
      <c r="F16" s="22">
        <v>5.5</v>
      </c>
      <c r="G16" s="22">
        <v>5</v>
      </c>
      <c r="H16" s="22">
        <v>4</v>
      </c>
      <c r="I16" s="22">
        <v>4.0999999999999996</v>
      </c>
      <c r="J16" s="22">
        <v>4</v>
      </c>
      <c r="K16" s="22">
        <v>4</v>
      </c>
      <c r="L16" s="22">
        <v>5</v>
      </c>
      <c r="M16" s="22">
        <v>4</v>
      </c>
      <c r="N16" s="22">
        <v>5</v>
      </c>
      <c r="O16" s="22">
        <v>4</v>
      </c>
      <c r="P16" s="22">
        <v>4</v>
      </c>
      <c r="Q16" s="22">
        <v>5</v>
      </c>
      <c r="R16" s="22">
        <v>5</v>
      </c>
      <c r="S16" s="22">
        <v>4.5</v>
      </c>
      <c r="T16" s="22">
        <v>8</v>
      </c>
      <c r="U16" s="22">
        <v>8</v>
      </c>
      <c r="V16" s="22">
        <v>7.5</v>
      </c>
      <c r="W16" s="22">
        <v>7.5</v>
      </c>
      <c r="X16" s="22">
        <v>8.5</v>
      </c>
      <c r="Y16" s="117"/>
      <c r="Z16" s="117"/>
      <c r="AA16" s="117"/>
      <c r="AB16" s="22">
        <v>8.1999999999999993</v>
      </c>
      <c r="AC16" s="22">
        <v>6</v>
      </c>
      <c r="AD16" s="22">
        <v>7.5</v>
      </c>
      <c r="AE16" s="22">
        <v>8.1</v>
      </c>
      <c r="AF16" s="22">
        <v>8.1999999999999993</v>
      </c>
      <c r="AG16" s="23">
        <f t="shared" si="0"/>
        <v>150.1</v>
      </c>
      <c r="AH16" s="24">
        <f t="shared" si="1"/>
        <v>5.773076923076923</v>
      </c>
    </row>
    <row r="17" spans="1:34" ht="15.5">
      <c r="A17" s="11">
        <f>'Data Siswa'!A17</f>
        <v>16</v>
      </c>
      <c r="B17" s="21" t="str">
        <f>'Data Siswa'!B17</f>
        <v>RIZKA KAMILATUL ULYA</v>
      </c>
      <c r="C17" s="11" t="str">
        <f>'Data Siswa'!C17</f>
        <v>1112</v>
      </c>
      <c r="D17" s="22">
        <v>5</v>
      </c>
      <c r="E17" s="22">
        <v>4</v>
      </c>
      <c r="F17" s="22">
        <v>4</v>
      </c>
      <c r="G17" s="22">
        <v>7</v>
      </c>
      <c r="H17" s="22">
        <v>4</v>
      </c>
      <c r="I17" s="22">
        <v>4.0999999999999996</v>
      </c>
      <c r="J17" s="22">
        <v>4</v>
      </c>
      <c r="K17" s="22">
        <v>4</v>
      </c>
      <c r="L17" s="22">
        <v>5</v>
      </c>
      <c r="M17" s="22">
        <v>4.5</v>
      </c>
      <c r="N17" s="22">
        <v>5</v>
      </c>
      <c r="O17" s="22">
        <v>4</v>
      </c>
      <c r="P17" s="22">
        <v>4</v>
      </c>
      <c r="Q17" s="22">
        <v>6.5</v>
      </c>
      <c r="R17" s="22">
        <v>5</v>
      </c>
      <c r="S17" s="22">
        <v>6</v>
      </c>
      <c r="T17" s="22">
        <v>8</v>
      </c>
      <c r="U17" s="22">
        <v>7</v>
      </c>
      <c r="V17" s="22">
        <v>8</v>
      </c>
      <c r="W17" s="22">
        <v>7.5</v>
      </c>
      <c r="X17" s="22">
        <v>8</v>
      </c>
      <c r="Y17" s="117"/>
      <c r="Z17" s="117"/>
      <c r="AA17" s="117"/>
      <c r="AB17" s="22">
        <v>7.8</v>
      </c>
      <c r="AC17" s="22">
        <v>7</v>
      </c>
      <c r="AD17" s="22">
        <v>7</v>
      </c>
      <c r="AE17" s="22">
        <v>8</v>
      </c>
      <c r="AF17" s="22">
        <v>8</v>
      </c>
      <c r="AG17" s="23">
        <f t="shared" si="0"/>
        <v>152.39999999999998</v>
      </c>
      <c r="AH17" s="24">
        <f t="shared" si="1"/>
        <v>5.8615384615384603</v>
      </c>
    </row>
    <row r="18" spans="1:34" ht="15.5">
      <c r="A18" s="11">
        <f>'Data Siswa'!A18</f>
        <v>17</v>
      </c>
      <c r="B18" s="21" t="str">
        <f>'Data Siswa'!B18</f>
        <v>RONA IMRONA</v>
      </c>
      <c r="C18" s="11" t="str">
        <f>'Data Siswa'!C18</f>
        <v>1113</v>
      </c>
      <c r="D18" s="22">
        <v>5</v>
      </c>
      <c r="E18" s="22">
        <v>6</v>
      </c>
      <c r="F18" s="22">
        <v>7.5</v>
      </c>
      <c r="G18" s="22">
        <v>7</v>
      </c>
      <c r="H18" s="22">
        <v>5</v>
      </c>
      <c r="I18" s="22">
        <v>4.2</v>
      </c>
      <c r="J18" s="22">
        <v>4</v>
      </c>
      <c r="K18" s="22">
        <v>4.5</v>
      </c>
      <c r="L18" s="22">
        <v>5</v>
      </c>
      <c r="M18" s="22">
        <v>4</v>
      </c>
      <c r="N18" s="22">
        <v>5</v>
      </c>
      <c r="O18" s="22">
        <v>5.5</v>
      </c>
      <c r="P18" s="22">
        <v>6</v>
      </c>
      <c r="Q18" s="22">
        <v>5</v>
      </c>
      <c r="R18" s="22">
        <v>5</v>
      </c>
      <c r="S18" s="22">
        <v>6</v>
      </c>
      <c r="T18" s="22">
        <v>8</v>
      </c>
      <c r="U18" s="22">
        <v>7</v>
      </c>
      <c r="V18" s="22">
        <v>8</v>
      </c>
      <c r="W18" s="22">
        <v>7.5</v>
      </c>
      <c r="X18" s="22">
        <v>7.5</v>
      </c>
      <c r="Y18" s="117"/>
      <c r="Z18" s="117"/>
      <c r="AA18" s="117"/>
      <c r="AB18" s="22">
        <v>7.9</v>
      </c>
      <c r="AC18" s="22">
        <v>6.5</v>
      </c>
      <c r="AD18" s="22">
        <v>7.3</v>
      </c>
      <c r="AE18" s="22">
        <v>8.1999999999999993</v>
      </c>
      <c r="AF18" s="22">
        <v>8</v>
      </c>
      <c r="AG18" s="23">
        <f t="shared" si="0"/>
        <v>160.6</v>
      </c>
      <c r="AH18" s="24">
        <f t="shared" si="1"/>
        <v>6.1769230769230763</v>
      </c>
    </row>
    <row r="19" spans="1:34" ht="15.5">
      <c r="A19" s="11">
        <f>'Data Siswa'!A19</f>
        <v>18</v>
      </c>
      <c r="B19" s="21" t="str">
        <f>'Data Siswa'!B19</f>
        <v>RUFAIDAH AZZAHRA</v>
      </c>
      <c r="C19" s="11" t="str">
        <f>'Data Siswa'!C19</f>
        <v>1114</v>
      </c>
      <c r="D19" s="22">
        <v>5.5</v>
      </c>
      <c r="E19" s="22">
        <v>6</v>
      </c>
      <c r="F19" s="22">
        <v>7.5</v>
      </c>
      <c r="G19" s="22">
        <v>6</v>
      </c>
      <c r="H19" s="22">
        <v>5.5</v>
      </c>
      <c r="I19" s="22">
        <v>4.0999999999999996</v>
      </c>
      <c r="J19" s="22">
        <v>4</v>
      </c>
      <c r="K19" s="22">
        <v>4.5</v>
      </c>
      <c r="L19" s="22">
        <v>5.5</v>
      </c>
      <c r="M19" s="22">
        <v>5</v>
      </c>
      <c r="N19" s="22">
        <v>5</v>
      </c>
      <c r="O19" s="22">
        <v>5</v>
      </c>
      <c r="P19" s="22">
        <v>5.5</v>
      </c>
      <c r="Q19" s="22">
        <v>5</v>
      </c>
      <c r="R19" s="22">
        <v>5</v>
      </c>
      <c r="S19" s="22">
        <v>6</v>
      </c>
      <c r="T19" s="22">
        <v>8</v>
      </c>
      <c r="U19" s="22">
        <v>7</v>
      </c>
      <c r="V19" s="22">
        <v>7.8</v>
      </c>
      <c r="W19" s="22">
        <v>7.5</v>
      </c>
      <c r="X19" s="22">
        <v>8.5</v>
      </c>
      <c r="Y19" s="117"/>
      <c r="Z19" s="117"/>
      <c r="AA19" s="117"/>
      <c r="AB19" s="22">
        <v>8.1999999999999993</v>
      </c>
      <c r="AC19" s="22">
        <v>6</v>
      </c>
      <c r="AD19" s="22">
        <v>7.3</v>
      </c>
      <c r="AE19" s="22">
        <v>8.1</v>
      </c>
      <c r="AF19" s="22">
        <v>8</v>
      </c>
      <c r="AG19" s="23">
        <f t="shared" si="0"/>
        <v>161.5</v>
      </c>
      <c r="AH19" s="24">
        <f t="shared" si="1"/>
        <v>6.2115384615384617</v>
      </c>
    </row>
    <row r="20" spans="1:34" ht="15.5">
      <c r="A20" s="11">
        <f>'Data Siswa'!A20</f>
        <v>19</v>
      </c>
      <c r="B20" s="21" t="str">
        <f>'Data Siswa'!B20</f>
        <v>SALWA JUHRATUNISA</v>
      </c>
      <c r="C20" s="11" t="str">
        <f>'Data Siswa'!C20</f>
        <v>1115</v>
      </c>
      <c r="D20" s="22">
        <v>4.5</v>
      </c>
      <c r="E20" s="22">
        <v>5</v>
      </c>
      <c r="F20" s="22">
        <v>6</v>
      </c>
      <c r="G20" s="22">
        <v>5</v>
      </c>
      <c r="H20" s="22">
        <v>5</v>
      </c>
      <c r="I20" s="22">
        <v>4</v>
      </c>
      <c r="J20" s="22">
        <v>4</v>
      </c>
      <c r="K20" s="22">
        <v>4</v>
      </c>
      <c r="L20" s="22">
        <v>6.5</v>
      </c>
      <c r="M20" s="22">
        <v>5.5</v>
      </c>
      <c r="N20" s="22">
        <v>5</v>
      </c>
      <c r="O20" s="22">
        <v>4</v>
      </c>
      <c r="P20" s="22">
        <v>5</v>
      </c>
      <c r="Q20" s="22">
        <v>6.5</v>
      </c>
      <c r="R20" s="22">
        <v>5</v>
      </c>
      <c r="S20" s="22">
        <v>5</v>
      </c>
      <c r="T20" s="22">
        <v>8</v>
      </c>
      <c r="U20" s="22">
        <v>7</v>
      </c>
      <c r="V20" s="22">
        <v>7.8</v>
      </c>
      <c r="W20" s="22">
        <v>7.5</v>
      </c>
      <c r="X20" s="22">
        <v>7.5</v>
      </c>
      <c r="Y20" s="117"/>
      <c r="Z20" s="117"/>
      <c r="AA20" s="117"/>
      <c r="AB20" s="22">
        <v>8.1999999999999993</v>
      </c>
      <c r="AC20" s="22">
        <v>6</v>
      </c>
      <c r="AD20" s="22">
        <v>7</v>
      </c>
      <c r="AE20" s="22">
        <v>8.1999999999999993</v>
      </c>
      <c r="AF20" s="22">
        <v>8.3000000000000007</v>
      </c>
      <c r="AG20" s="23">
        <f t="shared" si="0"/>
        <v>155.5</v>
      </c>
      <c r="AH20" s="24">
        <f t="shared" si="1"/>
        <v>5.9807692307692308</v>
      </c>
    </row>
    <row r="21" spans="1:34" ht="15.5">
      <c r="A21" s="11">
        <f>'Data Siswa'!A21</f>
        <v>20</v>
      </c>
      <c r="B21" s="21" t="str">
        <f>'Data Siswa'!B21</f>
        <v>SITI KHORIAH</v>
      </c>
      <c r="C21" s="11" t="str">
        <f>'Data Siswa'!C21</f>
        <v>1116</v>
      </c>
      <c r="D21" s="22">
        <v>5</v>
      </c>
      <c r="E21" s="22">
        <v>5</v>
      </c>
      <c r="F21" s="22">
        <v>6.5</v>
      </c>
      <c r="G21" s="22">
        <v>7</v>
      </c>
      <c r="H21" s="22">
        <v>5.5</v>
      </c>
      <c r="I21" s="22">
        <v>4.8</v>
      </c>
      <c r="J21" s="22">
        <v>4</v>
      </c>
      <c r="K21" s="22">
        <v>4</v>
      </c>
      <c r="L21" s="22">
        <v>6</v>
      </c>
      <c r="M21" s="22">
        <v>5</v>
      </c>
      <c r="N21" s="22">
        <v>5</v>
      </c>
      <c r="O21" s="22">
        <v>4</v>
      </c>
      <c r="P21" s="22">
        <v>5</v>
      </c>
      <c r="Q21" s="22">
        <v>5</v>
      </c>
      <c r="R21" s="22">
        <v>5</v>
      </c>
      <c r="S21" s="22">
        <v>5.5</v>
      </c>
      <c r="T21" s="22">
        <v>8</v>
      </c>
      <c r="U21" s="22">
        <v>7</v>
      </c>
      <c r="V21" s="22">
        <v>7.8</v>
      </c>
      <c r="W21" s="22">
        <v>7.5</v>
      </c>
      <c r="X21" s="22">
        <v>8.5</v>
      </c>
      <c r="Y21" s="117"/>
      <c r="Z21" s="117"/>
      <c r="AA21" s="117"/>
      <c r="AB21" s="22">
        <v>8.8000000000000007</v>
      </c>
      <c r="AC21" s="22">
        <v>6.5</v>
      </c>
      <c r="AD21" s="22">
        <v>7.5</v>
      </c>
      <c r="AE21" s="22">
        <v>8.1999999999999993</v>
      </c>
      <c r="AF21" s="22">
        <v>8</v>
      </c>
      <c r="AG21" s="23">
        <f t="shared" si="0"/>
        <v>160.1</v>
      </c>
      <c r="AH21" s="24">
        <f t="shared" si="1"/>
        <v>6.1576923076923071</v>
      </c>
    </row>
    <row r="22" spans="1:34" ht="15.5">
      <c r="A22" s="11">
        <f>'Data Siswa'!A22</f>
        <v>21</v>
      </c>
      <c r="B22" s="21" t="str">
        <f>'Data Siswa'!B22</f>
        <v>SITI MAESAROH</v>
      </c>
      <c r="C22" s="11" t="str">
        <f>'Data Siswa'!C22</f>
        <v>1117</v>
      </c>
      <c r="D22" s="22">
        <v>4.5</v>
      </c>
      <c r="E22" s="22">
        <v>4</v>
      </c>
      <c r="F22" s="22">
        <v>4</v>
      </c>
      <c r="G22" s="22">
        <v>4.5</v>
      </c>
      <c r="H22" s="22">
        <v>4</v>
      </c>
      <c r="I22" s="22">
        <v>4.4000000000000004</v>
      </c>
      <c r="J22" s="22">
        <v>4</v>
      </c>
      <c r="K22" s="22">
        <v>4</v>
      </c>
      <c r="L22" s="22">
        <v>5.5</v>
      </c>
      <c r="M22" s="22">
        <v>4</v>
      </c>
      <c r="N22" s="22">
        <v>5</v>
      </c>
      <c r="O22" s="22">
        <v>4</v>
      </c>
      <c r="P22" s="22">
        <v>4</v>
      </c>
      <c r="Q22" s="22">
        <v>4</v>
      </c>
      <c r="R22" s="22">
        <v>5</v>
      </c>
      <c r="S22" s="22">
        <v>5</v>
      </c>
      <c r="T22" s="22">
        <v>8</v>
      </c>
      <c r="U22" s="22">
        <v>7</v>
      </c>
      <c r="V22" s="22">
        <v>7.5</v>
      </c>
      <c r="W22" s="22">
        <v>7.5</v>
      </c>
      <c r="X22" s="22">
        <v>7.5</v>
      </c>
      <c r="Y22" s="117"/>
      <c r="Z22" s="117"/>
      <c r="AA22" s="117"/>
      <c r="AB22" s="22">
        <v>7.8</v>
      </c>
      <c r="AC22" s="22">
        <v>6</v>
      </c>
      <c r="AD22" s="22">
        <v>6.5</v>
      </c>
      <c r="AE22" s="22">
        <v>8.3000000000000007</v>
      </c>
      <c r="AF22" s="22">
        <v>8</v>
      </c>
      <c r="AG22" s="23">
        <f t="shared" si="0"/>
        <v>144</v>
      </c>
      <c r="AH22" s="24">
        <f t="shared" si="1"/>
        <v>5.5384615384615383</v>
      </c>
    </row>
    <row r="23" spans="1:34" ht="15.5">
      <c r="A23" s="11">
        <f>'Data Siswa'!A23</f>
        <v>22</v>
      </c>
      <c r="B23" s="21" t="str">
        <f>'Data Siswa'!B23</f>
        <v>SITI ZAHROTUL UYUN</v>
      </c>
      <c r="C23" s="11" t="str">
        <f>'Data Siswa'!C23</f>
        <v>1118</v>
      </c>
      <c r="D23" s="22">
        <v>6</v>
      </c>
      <c r="E23" s="22">
        <v>4</v>
      </c>
      <c r="F23" s="22">
        <v>7.5</v>
      </c>
      <c r="G23" s="22">
        <v>7.5</v>
      </c>
      <c r="H23" s="22">
        <v>5</v>
      </c>
      <c r="I23" s="22">
        <v>4</v>
      </c>
      <c r="J23" s="22">
        <v>4</v>
      </c>
      <c r="K23" s="22">
        <v>5.5</v>
      </c>
      <c r="L23" s="22">
        <v>6</v>
      </c>
      <c r="M23" s="22">
        <v>7</v>
      </c>
      <c r="N23" s="22">
        <v>5</v>
      </c>
      <c r="O23" s="22">
        <v>5</v>
      </c>
      <c r="P23" s="22">
        <v>5.5</v>
      </c>
      <c r="Q23" s="22">
        <v>6</v>
      </c>
      <c r="R23" s="22">
        <v>5</v>
      </c>
      <c r="S23" s="22">
        <v>5</v>
      </c>
      <c r="T23" s="22">
        <v>8</v>
      </c>
      <c r="U23" s="22">
        <v>7</v>
      </c>
      <c r="V23" s="22">
        <v>7.5</v>
      </c>
      <c r="W23" s="22">
        <v>7.5</v>
      </c>
      <c r="X23" s="22">
        <v>8</v>
      </c>
      <c r="Y23" s="117"/>
      <c r="Z23" s="117"/>
      <c r="AA23" s="117"/>
      <c r="AB23" s="22">
        <v>7.7</v>
      </c>
      <c r="AC23" s="22">
        <v>6.5</v>
      </c>
      <c r="AD23" s="22">
        <v>7.3</v>
      </c>
      <c r="AE23" s="22">
        <v>8.1999999999999993</v>
      </c>
      <c r="AF23" s="22">
        <v>8.3000000000000007</v>
      </c>
      <c r="AG23" s="23">
        <f t="shared" si="0"/>
        <v>164</v>
      </c>
      <c r="AH23" s="24">
        <f t="shared" si="1"/>
        <v>6.3076923076923075</v>
      </c>
    </row>
    <row r="24" spans="1:34" ht="15.5">
      <c r="A24" s="11">
        <f>'Data Siswa'!A24</f>
        <v>23</v>
      </c>
      <c r="B24" s="21" t="str">
        <f>'Data Siswa'!B24</f>
        <v>SOFWA SALSABILA</v>
      </c>
      <c r="C24" s="11" t="str">
        <f>'Data Siswa'!C24</f>
        <v>1119</v>
      </c>
      <c r="D24" s="22">
        <v>6.5</v>
      </c>
      <c r="E24" s="22">
        <v>5</v>
      </c>
      <c r="F24" s="22">
        <v>8</v>
      </c>
      <c r="G24" s="22">
        <v>8</v>
      </c>
      <c r="H24" s="22">
        <v>5.5</v>
      </c>
      <c r="I24" s="22">
        <v>5.5</v>
      </c>
      <c r="J24" s="22">
        <v>5</v>
      </c>
      <c r="K24" s="22">
        <v>8</v>
      </c>
      <c r="L24" s="22">
        <v>7</v>
      </c>
      <c r="M24" s="22">
        <v>6</v>
      </c>
      <c r="N24" s="22">
        <v>5</v>
      </c>
      <c r="O24" s="22">
        <v>6.5</v>
      </c>
      <c r="P24" s="22">
        <v>5.5</v>
      </c>
      <c r="Q24" s="22">
        <v>7</v>
      </c>
      <c r="R24" s="22">
        <v>5</v>
      </c>
      <c r="S24" s="22">
        <v>6.5</v>
      </c>
      <c r="T24" s="22">
        <v>8</v>
      </c>
      <c r="U24" s="22">
        <v>7</v>
      </c>
      <c r="V24" s="22">
        <v>8</v>
      </c>
      <c r="W24" s="22">
        <v>8.5</v>
      </c>
      <c r="X24" s="22">
        <v>8</v>
      </c>
      <c r="Y24" s="117"/>
      <c r="Z24" s="117"/>
      <c r="AA24" s="117"/>
      <c r="AB24" s="22">
        <v>7.9</v>
      </c>
      <c r="AC24" s="22">
        <v>6</v>
      </c>
      <c r="AD24" s="22">
        <v>7.5</v>
      </c>
      <c r="AE24" s="22">
        <v>8.5</v>
      </c>
      <c r="AF24" s="22">
        <v>8.5</v>
      </c>
      <c r="AG24" s="23">
        <f t="shared" si="0"/>
        <v>177.9</v>
      </c>
      <c r="AH24" s="24">
        <f t="shared" si="1"/>
        <v>6.8423076923076929</v>
      </c>
    </row>
    <row r="25" spans="1:34" ht="15.5">
      <c r="A25" s="11">
        <f>'Data Siswa'!A25</f>
        <v>24</v>
      </c>
      <c r="B25" s="21" t="str">
        <f>'Data Siswa'!B25</f>
        <v>SULISTIA NINGSIH</v>
      </c>
      <c r="C25" s="11" t="str">
        <f>'Data Siswa'!C25</f>
        <v>1120</v>
      </c>
      <c r="D25" s="22">
        <v>4.5</v>
      </c>
      <c r="E25" s="22">
        <v>4.5</v>
      </c>
      <c r="F25" s="22">
        <v>4.5</v>
      </c>
      <c r="G25" s="22">
        <v>4.5</v>
      </c>
      <c r="H25" s="22">
        <v>5</v>
      </c>
      <c r="I25" s="22">
        <v>4</v>
      </c>
      <c r="J25" s="22">
        <v>4</v>
      </c>
      <c r="K25" s="22">
        <v>5.5</v>
      </c>
      <c r="L25" s="22">
        <v>6</v>
      </c>
      <c r="M25" s="22">
        <v>4.5</v>
      </c>
      <c r="N25" s="22">
        <v>5</v>
      </c>
      <c r="O25" s="22">
        <v>4</v>
      </c>
      <c r="P25" s="22">
        <v>5</v>
      </c>
      <c r="Q25" s="22">
        <v>5.5</v>
      </c>
      <c r="R25" s="22">
        <v>5</v>
      </c>
      <c r="S25" s="22">
        <v>4</v>
      </c>
      <c r="T25" s="22">
        <v>8</v>
      </c>
      <c r="U25" s="22">
        <v>7</v>
      </c>
      <c r="V25" s="22">
        <v>7.5</v>
      </c>
      <c r="W25" s="22">
        <v>7.5</v>
      </c>
      <c r="X25" s="22">
        <v>8</v>
      </c>
      <c r="Y25" s="117"/>
      <c r="Z25" s="117"/>
      <c r="AA25" s="117"/>
      <c r="AB25" s="22">
        <v>8.3000000000000007</v>
      </c>
      <c r="AC25" s="22">
        <v>7</v>
      </c>
      <c r="AD25" s="22">
        <v>7</v>
      </c>
      <c r="AE25" s="22">
        <v>8.1</v>
      </c>
      <c r="AF25" s="22">
        <v>8</v>
      </c>
      <c r="AG25" s="23">
        <f t="shared" si="0"/>
        <v>151.9</v>
      </c>
      <c r="AH25" s="24">
        <f t="shared" si="1"/>
        <v>5.8423076923076929</v>
      </c>
    </row>
    <row r="26" spans="1:34" ht="15.5">
      <c r="A26" s="11">
        <f>'Data Siswa'!A26</f>
        <v>25</v>
      </c>
      <c r="B26" s="21" t="str">
        <f>'Data Siswa'!B26</f>
        <v>VERA FEBRIANTI</v>
      </c>
      <c r="C26" s="11" t="str">
        <f>'Data Siswa'!C26</f>
        <v>1121</v>
      </c>
      <c r="D26" s="22">
        <v>4.5</v>
      </c>
      <c r="E26" s="22">
        <v>6</v>
      </c>
      <c r="F26" s="22">
        <v>6.5</v>
      </c>
      <c r="G26" s="22">
        <v>6.5</v>
      </c>
      <c r="H26" s="22">
        <v>5</v>
      </c>
      <c r="I26" s="22">
        <v>4.4000000000000004</v>
      </c>
      <c r="J26" s="22">
        <v>4</v>
      </c>
      <c r="K26" s="22">
        <v>6.5</v>
      </c>
      <c r="L26" s="22">
        <v>6</v>
      </c>
      <c r="M26" s="22">
        <v>5</v>
      </c>
      <c r="N26" s="22">
        <v>5</v>
      </c>
      <c r="O26" s="22">
        <v>4</v>
      </c>
      <c r="P26" s="22">
        <v>6</v>
      </c>
      <c r="Q26" s="22">
        <v>4.5</v>
      </c>
      <c r="R26" s="22">
        <v>5</v>
      </c>
      <c r="S26" s="22">
        <v>5.5</v>
      </c>
      <c r="T26" s="22">
        <v>8</v>
      </c>
      <c r="U26" s="22">
        <v>7</v>
      </c>
      <c r="V26" s="22">
        <v>8.1999999999999993</v>
      </c>
      <c r="W26" s="22">
        <v>8</v>
      </c>
      <c r="X26" s="22">
        <v>8</v>
      </c>
      <c r="Y26" s="117"/>
      <c r="Z26" s="117"/>
      <c r="AA26" s="117"/>
      <c r="AB26" s="22">
        <v>8.3000000000000007</v>
      </c>
      <c r="AC26" s="22">
        <v>6</v>
      </c>
      <c r="AD26" s="22">
        <v>7</v>
      </c>
      <c r="AE26" s="22">
        <v>8.1</v>
      </c>
      <c r="AF26" s="22">
        <v>8</v>
      </c>
      <c r="AG26" s="23">
        <f t="shared" si="0"/>
        <v>161</v>
      </c>
      <c r="AH26" s="24">
        <f t="shared" si="1"/>
        <v>6.1923076923076925</v>
      </c>
    </row>
    <row r="27" spans="1:34" ht="15.5">
      <c r="A27" s="11">
        <f>'Data Siswa'!A27</f>
        <v>26</v>
      </c>
      <c r="B27" s="21" t="str">
        <f>'Data Siswa'!B27</f>
        <v>VIVI AULIA</v>
      </c>
      <c r="C27" s="11" t="str">
        <f>'Data Siswa'!C27</f>
        <v>1122</v>
      </c>
      <c r="D27" s="22">
        <v>6</v>
      </c>
      <c r="E27" s="22">
        <v>7</v>
      </c>
      <c r="F27" s="22">
        <v>8</v>
      </c>
      <c r="G27" s="22">
        <v>8</v>
      </c>
      <c r="H27" s="22">
        <v>5.5</v>
      </c>
      <c r="I27" s="22">
        <v>6.8</v>
      </c>
      <c r="J27" s="22">
        <v>6</v>
      </c>
      <c r="K27" s="22">
        <v>7</v>
      </c>
      <c r="L27" s="22">
        <v>6.5</v>
      </c>
      <c r="M27" s="22">
        <v>6</v>
      </c>
      <c r="N27" s="22">
        <v>7</v>
      </c>
      <c r="O27" s="22">
        <v>7.5</v>
      </c>
      <c r="P27" s="22">
        <v>6.5</v>
      </c>
      <c r="Q27" s="22">
        <v>7.5</v>
      </c>
      <c r="R27" s="22">
        <v>5</v>
      </c>
      <c r="S27" s="22">
        <v>7</v>
      </c>
      <c r="T27" s="22">
        <v>8</v>
      </c>
      <c r="U27" s="22">
        <v>8</v>
      </c>
      <c r="V27" s="22">
        <v>8.4</v>
      </c>
      <c r="W27" s="22">
        <v>7.5</v>
      </c>
      <c r="X27" s="22">
        <v>8.5</v>
      </c>
      <c r="Y27" s="117"/>
      <c r="Z27" s="117"/>
      <c r="AA27" s="117"/>
      <c r="AB27" s="22">
        <v>8.3000000000000007</v>
      </c>
      <c r="AC27" s="22">
        <v>6</v>
      </c>
      <c r="AD27" s="22">
        <v>8</v>
      </c>
      <c r="AE27" s="22">
        <v>9</v>
      </c>
      <c r="AF27" s="22">
        <v>8.8000000000000007</v>
      </c>
      <c r="AG27" s="23">
        <f t="shared" si="0"/>
        <v>187.8</v>
      </c>
      <c r="AH27" s="24">
        <f t="shared" si="1"/>
        <v>7.2230769230769232</v>
      </c>
    </row>
    <row r="28" spans="1:34" ht="15.5">
      <c r="A28" s="11">
        <f>'Data Siswa'!A28</f>
        <v>27</v>
      </c>
      <c r="B28" s="21" t="str">
        <f>'Data Siswa'!B28</f>
        <v>ZAHRA CITRA AGUSTIN</v>
      </c>
      <c r="C28" s="11" t="str">
        <f>'Data Siswa'!C28</f>
        <v>1123</v>
      </c>
      <c r="D28" s="22">
        <v>6</v>
      </c>
      <c r="E28" s="22">
        <v>6.5</v>
      </c>
      <c r="F28" s="22">
        <v>7.5</v>
      </c>
      <c r="G28" s="22">
        <v>6.5</v>
      </c>
      <c r="H28" s="22">
        <v>5</v>
      </c>
      <c r="I28" s="22">
        <v>4.0999999999999996</v>
      </c>
      <c r="J28" s="22">
        <v>4.5</v>
      </c>
      <c r="K28" s="22">
        <v>5</v>
      </c>
      <c r="L28" s="22">
        <v>5.5</v>
      </c>
      <c r="M28" s="22">
        <v>5</v>
      </c>
      <c r="N28" s="22">
        <v>7</v>
      </c>
      <c r="O28" s="22">
        <v>7</v>
      </c>
      <c r="P28" s="22">
        <v>5.5</v>
      </c>
      <c r="Q28" s="22">
        <v>7.5</v>
      </c>
      <c r="R28" s="22">
        <v>5</v>
      </c>
      <c r="S28" s="22">
        <v>6.5</v>
      </c>
      <c r="T28" s="22">
        <v>8</v>
      </c>
      <c r="U28" s="22">
        <v>8</v>
      </c>
      <c r="V28" s="22">
        <v>8.4</v>
      </c>
      <c r="W28" s="22">
        <v>8</v>
      </c>
      <c r="X28" s="22">
        <v>8</v>
      </c>
      <c r="Y28" s="117"/>
      <c r="Z28" s="117"/>
      <c r="AA28" s="117"/>
      <c r="AB28" s="22">
        <v>8.3000000000000007</v>
      </c>
      <c r="AC28" s="22">
        <v>7</v>
      </c>
      <c r="AD28" s="22">
        <v>8.3000000000000007</v>
      </c>
      <c r="AE28" s="22">
        <v>8.3000000000000007</v>
      </c>
      <c r="AF28" s="22">
        <v>8.1999999999999993</v>
      </c>
      <c r="AG28" s="23">
        <f t="shared" si="0"/>
        <v>174.60000000000002</v>
      </c>
      <c r="AH28" s="24">
        <f t="shared" si="1"/>
        <v>6.7153846153846164</v>
      </c>
    </row>
    <row r="29" spans="1:34" ht="15.5">
      <c r="A29" s="11">
        <f>'Data Siswa'!A29</f>
        <v>28</v>
      </c>
      <c r="B29" s="21" t="str">
        <f>'Data Siswa'!B29</f>
        <v>ZAHROTUL SYIFA</v>
      </c>
      <c r="C29" s="11" t="str">
        <f>'Data Siswa'!C29</f>
        <v>1124</v>
      </c>
      <c r="D29" s="22">
        <v>6</v>
      </c>
      <c r="E29" s="22">
        <v>6</v>
      </c>
      <c r="F29" s="22">
        <v>7.5</v>
      </c>
      <c r="G29" s="22">
        <v>6.5</v>
      </c>
      <c r="H29" s="22">
        <v>5.5</v>
      </c>
      <c r="I29" s="22">
        <v>4.4000000000000004</v>
      </c>
      <c r="J29" s="22">
        <v>4.5</v>
      </c>
      <c r="K29" s="22">
        <v>5.5</v>
      </c>
      <c r="L29" s="22">
        <v>6</v>
      </c>
      <c r="M29" s="22">
        <v>5</v>
      </c>
      <c r="N29" s="22">
        <v>5</v>
      </c>
      <c r="O29" s="22">
        <v>6.5</v>
      </c>
      <c r="P29" s="22">
        <v>7</v>
      </c>
      <c r="Q29" s="22">
        <v>7</v>
      </c>
      <c r="R29" s="22">
        <v>5</v>
      </c>
      <c r="S29" s="22">
        <v>7</v>
      </c>
      <c r="T29" s="22">
        <v>8</v>
      </c>
      <c r="U29" s="22">
        <v>7</v>
      </c>
      <c r="V29" s="22">
        <v>8.4</v>
      </c>
      <c r="W29" s="22">
        <v>8</v>
      </c>
      <c r="X29" s="22">
        <v>8.5</v>
      </c>
      <c r="Y29" s="117"/>
      <c r="Z29" s="117"/>
      <c r="AA29" s="117"/>
      <c r="AB29" s="22">
        <v>7.9</v>
      </c>
      <c r="AC29" s="22">
        <v>6.5</v>
      </c>
      <c r="AD29" s="22">
        <v>8</v>
      </c>
      <c r="AE29" s="22">
        <v>8.1999999999999993</v>
      </c>
      <c r="AF29" s="22">
        <v>8.3000000000000007</v>
      </c>
      <c r="AG29" s="23">
        <f t="shared" si="0"/>
        <v>173.20000000000002</v>
      </c>
      <c r="AH29" s="24">
        <f t="shared" si="1"/>
        <v>6.6615384615384619</v>
      </c>
    </row>
    <row r="30" spans="1:34" ht="15.5">
      <c r="A30" s="11">
        <f>'Data Siswa'!A30</f>
        <v>29</v>
      </c>
      <c r="B30" s="21" t="str">
        <f>'Data Siswa'!B30</f>
        <v>ZAKIA MANILOKA</v>
      </c>
      <c r="C30" s="11" t="str">
        <f>'Data Siswa'!C30</f>
        <v>1125</v>
      </c>
      <c r="D30" s="22">
        <v>6.5</v>
      </c>
      <c r="E30" s="22">
        <v>7</v>
      </c>
      <c r="F30" s="22">
        <v>8</v>
      </c>
      <c r="G30" s="22">
        <v>7.5</v>
      </c>
      <c r="H30" s="22">
        <v>5.5</v>
      </c>
      <c r="I30" s="22">
        <v>6.4</v>
      </c>
      <c r="J30" s="22">
        <v>7.5</v>
      </c>
      <c r="K30" s="22">
        <v>8</v>
      </c>
      <c r="L30" s="22">
        <v>5.5</v>
      </c>
      <c r="M30" s="22">
        <v>5</v>
      </c>
      <c r="N30" s="22">
        <v>7.5</v>
      </c>
      <c r="O30" s="22">
        <v>7.5</v>
      </c>
      <c r="P30" s="22">
        <v>7.5</v>
      </c>
      <c r="Q30" s="22">
        <v>7</v>
      </c>
      <c r="R30" s="22">
        <v>5</v>
      </c>
      <c r="S30" s="22">
        <v>6.5</v>
      </c>
      <c r="T30" s="22">
        <v>8</v>
      </c>
      <c r="U30" s="22">
        <v>7</v>
      </c>
      <c r="V30" s="22">
        <v>9</v>
      </c>
      <c r="W30" s="22">
        <v>8</v>
      </c>
      <c r="X30" s="22">
        <v>8</v>
      </c>
      <c r="Y30" s="117"/>
      <c r="Z30" s="117"/>
      <c r="AA30" s="117"/>
      <c r="AB30" s="22">
        <v>9</v>
      </c>
      <c r="AC30" s="22">
        <v>6</v>
      </c>
      <c r="AD30" s="22">
        <v>8.3000000000000007</v>
      </c>
      <c r="AE30" s="22">
        <v>8.3000000000000007</v>
      </c>
      <c r="AF30" s="22">
        <v>8.1</v>
      </c>
      <c r="AG30" s="23">
        <f t="shared" si="0"/>
        <v>187.60000000000002</v>
      </c>
      <c r="AH30" s="24">
        <f t="shared" si="1"/>
        <v>7.2153846153846164</v>
      </c>
    </row>
    <row r="31" spans="1:34" ht="15.5">
      <c r="A31" s="11">
        <f>'Data Siswa'!A31</f>
        <v>30</v>
      </c>
      <c r="B31" s="21" t="str">
        <f>'Data Siswa'!B31</f>
        <v>ZASKIA ANANTA PAMBUDI</v>
      </c>
      <c r="C31" s="11" t="str">
        <f>'Data Siswa'!C31</f>
        <v>1126</v>
      </c>
      <c r="D31" s="22">
        <v>5</v>
      </c>
      <c r="E31" s="22">
        <v>7</v>
      </c>
      <c r="F31" s="22">
        <v>7.5</v>
      </c>
      <c r="G31" s="22">
        <v>6.5</v>
      </c>
      <c r="H31" s="22">
        <v>5.5</v>
      </c>
      <c r="I31" s="22">
        <v>4.5</v>
      </c>
      <c r="J31" s="22">
        <v>4.5</v>
      </c>
      <c r="K31" s="22">
        <v>6</v>
      </c>
      <c r="L31" s="22">
        <v>5</v>
      </c>
      <c r="M31" s="22">
        <v>5</v>
      </c>
      <c r="N31" s="22">
        <v>5</v>
      </c>
      <c r="O31" s="22">
        <v>5</v>
      </c>
      <c r="P31" s="22">
        <v>5.5</v>
      </c>
      <c r="Q31" s="22">
        <v>6.5</v>
      </c>
      <c r="R31" s="22">
        <v>5</v>
      </c>
      <c r="S31" s="22">
        <v>5.5</v>
      </c>
      <c r="T31" s="22">
        <v>8</v>
      </c>
      <c r="U31" s="22">
        <v>7</v>
      </c>
      <c r="V31" s="22">
        <v>8</v>
      </c>
      <c r="W31" s="22">
        <v>8.5</v>
      </c>
      <c r="X31" s="22">
        <v>7.5</v>
      </c>
      <c r="Y31" s="117"/>
      <c r="Z31" s="117"/>
      <c r="AA31" s="117"/>
      <c r="AB31" s="22">
        <v>8</v>
      </c>
      <c r="AC31" s="22">
        <v>6</v>
      </c>
      <c r="AD31" s="22">
        <v>7.3</v>
      </c>
      <c r="AE31" s="22">
        <v>8.1</v>
      </c>
      <c r="AF31" s="22">
        <v>8</v>
      </c>
      <c r="AG31" s="23">
        <f t="shared" si="0"/>
        <v>165.4</v>
      </c>
      <c r="AH31" s="24">
        <f t="shared" si="1"/>
        <v>6.361538461538462</v>
      </c>
    </row>
    <row r="32" spans="1:34" ht="15.5">
      <c r="A32" s="11">
        <f>'Data Siswa'!A32</f>
        <v>31</v>
      </c>
      <c r="B32" s="21">
        <f>'Data Siswa'!B32</f>
        <v>0</v>
      </c>
      <c r="C32" s="11">
        <f>'Data Siswa'!C32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117"/>
      <c r="Z32" s="117"/>
      <c r="AA32" s="117"/>
      <c r="AB32" s="22"/>
      <c r="AC32" s="22"/>
      <c r="AD32" s="22"/>
      <c r="AE32" s="22"/>
      <c r="AF32" s="22"/>
      <c r="AG32" s="23">
        <f t="shared" si="0"/>
        <v>0</v>
      </c>
      <c r="AH32" s="24" t="e">
        <f t="shared" si="1"/>
        <v>#DIV/0!</v>
      </c>
    </row>
    <row r="33" spans="1:34" ht="15.5">
      <c r="A33" s="11">
        <f>'Data Siswa'!A33</f>
        <v>32</v>
      </c>
      <c r="B33" s="21">
        <f>'Data Siswa'!B33</f>
        <v>0</v>
      </c>
      <c r="C33" s="11">
        <f>'Data Siswa'!C33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117"/>
      <c r="Z33" s="117"/>
      <c r="AA33" s="117"/>
      <c r="AB33" s="22"/>
      <c r="AC33" s="22"/>
      <c r="AD33" s="22"/>
      <c r="AE33" s="22"/>
      <c r="AF33" s="22"/>
      <c r="AG33" s="23">
        <f t="shared" si="0"/>
        <v>0</v>
      </c>
      <c r="AH33" s="24" t="e">
        <f t="shared" si="1"/>
        <v>#DIV/0!</v>
      </c>
    </row>
    <row r="34" spans="1:34" ht="15.5">
      <c r="A34" s="11">
        <f>'Data Siswa'!A34</f>
        <v>33</v>
      </c>
      <c r="B34" s="21">
        <f>'Data Siswa'!B34</f>
        <v>0</v>
      </c>
      <c r="C34" s="11">
        <f>'Data Siswa'!C34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117"/>
      <c r="Z34" s="117"/>
      <c r="AA34" s="117"/>
      <c r="AB34" s="22"/>
      <c r="AC34" s="22"/>
      <c r="AD34" s="22"/>
      <c r="AE34" s="22"/>
      <c r="AF34" s="22"/>
      <c r="AG34" s="23">
        <f t="shared" si="0"/>
        <v>0</v>
      </c>
      <c r="AH34" s="24" t="e">
        <f t="shared" si="1"/>
        <v>#DIV/0!</v>
      </c>
    </row>
    <row r="35" spans="1:34" ht="15.5">
      <c r="A35" s="11">
        <f>'Data Siswa'!A35</f>
        <v>34</v>
      </c>
      <c r="B35" s="21">
        <f>'Data Siswa'!B35</f>
        <v>0</v>
      </c>
      <c r="C35" s="11">
        <f>'Data Siswa'!C35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117"/>
      <c r="Z35" s="117"/>
      <c r="AA35" s="117"/>
      <c r="AB35" s="22"/>
      <c r="AC35" s="22"/>
      <c r="AD35" s="22"/>
      <c r="AE35" s="22"/>
      <c r="AF35" s="22"/>
      <c r="AG35" s="23">
        <f t="shared" si="0"/>
        <v>0</v>
      </c>
      <c r="AH35" s="24" t="e">
        <f t="shared" si="1"/>
        <v>#DIV/0!</v>
      </c>
    </row>
    <row r="36" spans="1:34" ht="15.5">
      <c r="A36" s="11">
        <f>'Data Siswa'!A36</f>
        <v>35</v>
      </c>
      <c r="B36" s="21">
        <f>'Data Siswa'!B36</f>
        <v>0</v>
      </c>
      <c r="C36" s="11">
        <f>'Data Siswa'!C36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117"/>
      <c r="Z36" s="117"/>
      <c r="AA36" s="117"/>
      <c r="AB36" s="22"/>
      <c r="AC36" s="22"/>
      <c r="AD36" s="22"/>
      <c r="AE36" s="22"/>
      <c r="AF36" s="22"/>
      <c r="AG36" s="23">
        <f t="shared" si="0"/>
        <v>0</v>
      </c>
      <c r="AH36" s="24" t="e">
        <f t="shared" si="1"/>
        <v>#DIV/0!</v>
      </c>
    </row>
    <row r="37" spans="1:34" ht="15.5">
      <c r="A37" s="11">
        <f>'Data Siswa'!A37</f>
        <v>36</v>
      </c>
      <c r="B37" s="21">
        <f>'Data Siswa'!B37</f>
        <v>0</v>
      </c>
      <c r="C37" s="11">
        <f>'Data Siswa'!C37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117"/>
      <c r="Z37" s="117"/>
      <c r="AA37" s="117"/>
      <c r="AB37" s="22"/>
      <c r="AC37" s="22"/>
      <c r="AD37" s="22"/>
      <c r="AE37" s="22"/>
      <c r="AF37" s="22"/>
      <c r="AG37" s="23">
        <f t="shared" si="0"/>
        <v>0</v>
      </c>
      <c r="AH37" s="24" t="e">
        <f t="shared" si="1"/>
        <v>#DIV/0!</v>
      </c>
    </row>
    <row r="38" spans="1:34" ht="15.5">
      <c r="A38" s="11">
        <f>'Data Siswa'!A38</f>
        <v>37</v>
      </c>
      <c r="B38" s="21">
        <f>'Data Siswa'!B38</f>
        <v>0</v>
      </c>
      <c r="C38" s="11">
        <f>'Data Siswa'!C38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117"/>
      <c r="Z38" s="117"/>
      <c r="AA38" s="117"/>
      <c r="AB38" s="22"/>
      <c r="AC38" s="22"/>
      <c r="AD38" s="22"/>
      <c r="AE38" s="22"/>
      <c r="AF38" s="22"/>
      <c r="AG38" s="23">
        <f t="shared" si="0"/>
        <v>0</v>
      </c>
      <c r="AH38" s="24" t="e">
        <f t="shared" si="1"/>
        <v>#DIV/0!</v>
      </c>
    </row>
    <row r="39" spans="1:34" ht="15.5">
      <c r="A39" s="11">
        <f>'Data Siswa'!A39</f>
        <v>38</v>
      </c>
      <c r="B39" s="21">
        <f>'Data Siswa'!B39</f>
        <v>0</v>
      </c>
      <c r="C39" s="11">
        <f>'Data Siswa'!C39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117"/>
      <c r="Z39" s="117"/>
      <c r="AA39" s="117"/>
      <c r="AB39" s="22"/>
      <c r="AC39" s="22"/>
      <c r="AD39" s="22"/>
      <c r="AE39" s="22"/>
      <c r="AF39" s="22"/>
      <c r="AG39" s="23">
        <f t="shared" si="0"/>
        <v>0</v>
      </c>
      <c r="AH39" s="24" t="e">
        <f t="shared" si="1"/>
        <v>#DIV/0!</v>
      </c>
    </row>
    <row r="40" spans="1:34" ht="15.5">
      <c r="A40" s="11">
        <f>'Data Siswa'!A40</f>
        <v>39</v>
      </c>
      <c r="B40" s="21">
        <f>'Data Siswa'!B40</f>
        <v>0</v>
      </c>
      <c r="C40" s="11">
        <f>'Data Siswa'!C40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117"/>
      <c r="Z40" s="117"/>
      <c r="AA40" s="117"/>
      <c r="AB40" s="22"/>
      <c r="AC40" s="22"/>
      <c r="AD40" s="22"/>
      <c r="AE40" s="22"/>
      <c r="AF40" s="22"/>
      <c r="AG40" s="23">
        <f t="shared" si="0"/>
        <v>0</v>
      </c>
      <c r="AH40" s="24" t="e">
        <f t="shared" si="1"/>
        <v>#DIV/0!</v>
      </c>
    </row>
    <row r="41" spans="1:34" ht="15.5">
      <c r="A41" s="11">
        <f>'Data Siswa'!A41</f>
        <v>40</v>
      </c>
      <c r="B41" s="21">
        <f>'Data Siswa'!B41</f>
        <v>0</v>
      </c>
      <c r="C41" s="11">
        <f>'Data Siswa'!C41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117"/>
      <c r="Z41" s="117"/>
      <c r="AA41" s="117"/>
      <c r="AB41" s="22"/>
      <c r="AC41" s="22"/>
      <c r="AD41" s="22"/>
      <c r="AE41" s="22"/>
      <c r="AF41" s="22"/>
      <c r="AG41" s="23">
        <f t="shared" si="0"/>
        <v>0</v>
      </c>
      <c r="AH41" s="24" t="e">
        <f t="shared" si="1"/>
        <v>#DIV/0!</v>
      </c>
    </row>
  </sheetData>
  <sheetProtection algorithmName="SHA-512" hashValue="56432s9/kOpFP1Upuq2XUkQn3bHYulXnWmGe93Th+oFxmmv/ktLJ4f7I7qHe9RaY4feBAwKHthYpn3E+0gZ4Lw==" saltValue="lpgcH/cWjH19u4WUCbFMEQ==" spinCount="100000" sheet="1" selectLockedCells="1"/>
  <conditionalFormatting sqref="D2:U41">
    <cfRule type="cellIs" dxfId="7" priority="1" operator="greaterThan">
      <formula>8</formula>
    </cfRule>
    <cfRule type="cellIs" dxfId="6" priority="2" stopIfTrue="1" operator="lessThan">
      <formula>4</formula>
    </cfRule>
  </conditionalFormatting>
  <conditionalFormatting sqref="V2:X41">
    <cfRule type="cellIs" dxfId="5" priority="5" operator="greaterThan">
      <formula>10</formula>
    </cfRule>
    <cfRule type="cellIs" dxfId="4" priority="6" stopIfTrue="1" operator="lessThan">
      <formula>4</formula>
    </cfRule>
  </conditionalFormatting>
  <conditionalFormatting sqref="AB2:AF41">
    <cfRule type="cellIs" dxfId="3" priority="3" operator="greaterThan">
      <formula>10</formula>
    </cfRule>
    <cfRule type="cellIs" dxfId="2" priority="4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Y2:AA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X41 AB2:AF41" xr:uid="{00000000-0002-0000-0300-000001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AC14" sqref="AC14"/>
    </sheetView>
  </sheetViews>
  <sheetFormatPr defaultColWidth="10" defaultRowHeight="14.5"/>
  <cols>
    <col min="1" max="1" width="6.54296875" customWidth="1"/>
    <col min="2" max="2" width="32.453125" customWidth="1"/>
    <col min="3" max="3" width="5.81640625" customWidth="1"/>
    <col min="4" max="19" width="5.26953125" customWidth="1"/>
    <col min="20" max="20" width="6.453125" customWidth="1"/>
    <col min="21" max="21" width="9.453125" style="25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5" customWidth="1"/>
  </cols>
  <sheetData>
    <row r="1" spans="1:26" ht="14.5" customHeight="1">
      <c r="A1" s="146" t="s">
        <v>173</v>
      </c>
      <c r="B1" s="147"/>
      <c r="C1" s="148"/>
      <c r="D1" s="149" t="s">
        <v>174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1"/>
      <c r="V1" s="156"/>
      <c r="W1" s="158" t="s">
        <v>172</v>
      </c>
      <c r="X1" s="159"/>
      <c r="Y1" s="160"/>
      <c r="Z1" s="26" t="s">
        <v>167</v>
      </c>
    </row>
    <row r="2" spans="1:26" ht="19.5" customHeight="1">
      <c r="A2" s="152" t="s">
        <v>73</v>
      </c>
      <c r="B2" s="142" t="s">
        <v>53</v>
      </c>
      <c r="C2" s="153" t="s">
        <v>52</v>
      </c>
      <c r="D2" s="142" t="s">
        <v>78</v>
      </c>
      <c r="E2" s="142"/>
      <c r="F2" s="142"/>
      <c r="G2" s="142"/>
      <c r="H2" s="142"/>
      <c r="I2" s="142"/>
      <c r="J2" s="143" t="s">
        <v>79</v>
      </c>
      <c r="K2" s="144"/>
      <c r="L2" s="144"/>
      <c r="M2" s="144"/>
      <c r="N2" s="145"/>
      <c r="O2" s="143" t="s">
        <v>80</v>
      </c>
      <c r="P2" s="144"/>
      <c r="Q2" s="144"/>
      <c r="R2" s="144"/>
      <c r="S2" s="145"/>
      <c r="T2" s="142" t="s">
        <v>25</v>
      </c>
      <c r="U2" s="141" t="s">
        <v>96</v>
      </c>
      <c r="V2" s="157"/>
      <c r="W2" s="153" t="s">
        <v>40</v>
      </c>
      <c r="X2" s="153" t="s">
        <v>96</v>
      </c>
      <c r="Y2" s="153" t="s">
        <v>87</v>
      </c>
      <c r="Z2" s="155" t="s">
        <v>176</v>
      </c>
    </row>
    <row r="3" spans="1:26" ht="85" customHeight="1">
      <c r="A3" s="152"/>
      <c r="B3" s="142"/>
      <c r="C3" s="154"/>
      <c r="D3" s="27" t="s">
        <v>76</v>
      </c>
      <c r="E3" s="27" t="s">
        <v>59</v>
      </c>
      <c r="F3" s="27" t="s">
        <v>60</v>
      </c>
      <c r="G3" s="27" t="s">
        <v>15</v>
      </c>
      <c r="H3" s="27" t="s">
        <v>16</v>
      </c>
      <c r="I3" s="27" t="s">
        <v>77</v>
      </c>
      <c r="J3" s="28" t="s">
        <v>63</v>
      </c>
      <c r="K3" s="28" t="s">
        <v>84</v>
      </c>
      <c r="L3" s="28" t="s">
        <v>85</v>
      </c>
      <c r="M3" s="28" t="s">
        <v>266</v>
      </c>
      <c r="N3" s="28" t="s">
        <v>86</v>
      </c>
      <c r="O3" s="27" t="s">
        <v>179</v>
      </c>
      <c r="P3" s="27" t="s">
        <v>263</v>
      </c>
      <c r="Q3" s="27" t="s">
        <v>82</v>
      </c>
      <c r="R3" s="27" t="s">
        <v>101</v>
      </c>
      <c r="S3" s="27" t="s">
        <v>83</v>
      </c>
      <c r="T3" s="142"/>
      <c r="U3" s="141"/>
      <c r="V3" s="157"/>
      <c r="W3" s="154"/>
      <c r="X3" s="154"/>
      <c r="Y3" s="154"/>
      <c r="Z3" s="155"/>
    </row>
    <row r="4" spans="1:26" ht="15.5">
      <c r="A4" s="11">
        <f>'Data Siswa'!A2</f>
        <v>1</v>
      </c>
      <c r="B4" s="37" t="str">
        <f>'Data Siswa'!B2</f>
        <v>ALIFA RIZKIYAH</v>
      </c>
      <c r="C4" s="11" t="str">
        <f>'Data Siswa'!C2</f>
        <v>1097</v>
      </c>
      <c r="D4" s="22">
        <v>5</v>
      </c>
      <c r="E4" s="22">
        <v>4.5</v>
      </c>
      <c r="F4" s="22">
        <v>4</v>
      </c>
      <c r="G4" s="22">
        <v>4.5</v>
      </c>
      <c r="H4" s="22">
        <v>4</v>
      </c>
      <c r="I4" s="22">
        <v>5</v>
      </c>
      <c r="J4" s="22">
        <v>6</v>
      </c>
      <c r="K4" s="22">
        <v>5</v>
      </c>
      <c r="L4" s="22">
        <v>5</v>
      </c>
      <c r="M4" s="22">
        <v>5</v>
      </c>
      <c r="N4" s="22">
        <v>5</v>
      </c>
      <c r="O4" s="22">
        <v>7</v>
      </c>
      <c r="P4" s="22">
        <v>5</v>
      </c>
      <c r="Q4" s="22">
        <v>7</v>
      </c>
      <c r="R4" s="22">
        <v>5</v>
      </c>
      <c r="S4" s="22">
        <v>6</v>
      </c>
      <c r="T4" s="29">
        <f t="shared" ref="T4:T43" si="0">SUM(D4:S4)</f>
        <v>83</v>
      </c>
      <c r="U4" s="30">
        <f t="shared" ref="U4:U43" si="1">AVERAGE(D4:S4)</f>
        <v>5.1875</v>
      </c>
      <c r="V4" s="31"/>
      <c r="W4" s="29">
        <f>SUM('Nilai Tahriri'!AG2,'Nilai Syafahi'!T4)</f>
        <v>236.1</v>
      </c>
      <c r="X4" s="30">
        <f>AVERAGE(D4:S4,'Nilai Tahriri'!D2:AF2)</f>
        <v>5.6214285714285719</v>
      </c>
      <c r="Y4" s="32">
        <f t="array" aca="1" ref="Y4" ca="1">SUM(IF(W4&lt;OFFSET($W$4,0,0,COUNT(W:W),1),1/COUNTIF(OFFSET($W$4,0,0,COUNT(W:W),1),OFFSET($W$4,0,0,COUNT(W:W),1))))+1</f>
        <v>25</v>
      </c>
      <c r="Z4" s="33" t="s">
        <v>278</v>
      </c>
    </row>
    <row r="5" spans="1:26" ht="15.5">
      <c r="A5" s="11">
        <f>'Data Siswa'!A3</f>
        <v>2</v>
      </c>
      <c r="B5" s="40" t="str">
        <f>'Data Siswa'!B3</f>
        <v xml:space="preserve">ASSYIFA RAHMAWATI  </v>
      </c>
      <c r="C5" s="11" t="str">
        <f>'Data Siswa'!C3</f>
        <v>1098</v>
      </c>
      <c r="D5" s="22">
        <v>5</v>
      </c>
      <c r="E5" s="22">
        <v>5</v>
      </c>
      <c r="F5" s="22">
        <v>5</v>
      </c>
      <c r="G5" s="22">
        <v>5</v>
      </c>
      <c r="H5" s="22">
        <v>5</v>
      </c>
      <c r="I5" s="22">
        <v>5</v>
      </c>
      <c r="J5" s="22">
        <v>6</v>
      </c>
      <c r="K5" s="22">
        <v>5</v>
      </c>
      <c r="L5" s="22">
        <v>5</v>
      </c>
      <c r="M5" s="22">
        <v>6</v>
      </c>
      <c r="N5" s="22">
        <v>6</v>
      </c>
      <c r="O5" s="22">
        <v>6</v>
      </c>
      <c r="P5" s="22">
        <v>7</v>
      </c>
      <c r="Q5" s="22">
        <v>6</v>
      </c>
      <c r="R5" s="22">
        <v>5.5</v>
      </c>
      <c r="S5" s="22">
        <v>7</v>
      </c>
      <c r="T5" s="29">
        <f t="shared" si="0"/>
        <v>89.5</v>
      </c>
      <c r="U5" s="30">
        <f t="shared" si="1"/>
        <v>5.59375</v>
      </c>
      <c r="V5" s="31"/>
      <c r="W5" s="29">
        <f>SUM('Nilai Tahriri'!AG3,'Nilai Syafahi'!T5)</f>
        <v>192</v>
      </c>
      <c r="X5" s="29">
        <f>AVERAGE(D5:S5,'Nilai Tahriri'!D3:AF3)</f>
        <v>5.8181818181818183</v>
      </c>
      <c r="Y5" s="32">
        <f t="array" aca="1" ref="Y5" ca="1">SUM(IF(W5&lt;OFFSET($W$4,0,0,COUNT(W:W),1),1/COUNTIF(OFFSET($W$4,0,0,COUNT(W:W),1),OFFSET($W$4,0,0,COUNT(W:W),1))))+1</f>
        <v>29</v>
      </c>
      <c r="Z5" s="33" t="s">
        <v>278</v>
      </c>
    </row>
    <row r="6" spans="1:26" ht="15.5">
      <c r="A6" s="11">
        <f>'Data Siswa'!A4</f>
        <v>3</v>
      </c>
      <c r="B6" s="37" t="str">
        <f>'Data Siswa'!B4</f>
        <v>ATHIRA PUTRI TAZKIAH</v>
      </c>
      <c r="C6" s="11" t="str">
        <f>'Data Siswa'!C4</f>
        <v>1099</v>
      </c>
      <c r="D6" s="22">
        <v>5</v>
      </c>
      <c r="E6" s="22">
        <v>5</v>
      </c>
      <c r="F6" s="22">
        <v>5</v>
      </c>
      <c r="G6" s="22">
        <v>5.5</v>
      </c>
      <c r="H6" s="22">
        <v>5</v>
      </c>
      <c r="I6" s="22">
        <v>5</v>
      </c>
      <c r="J6" s="22">
        <v>7</v>
      </c>
      <c r="K6" s="22">
        <v>7</v>
      </c>
      <c r="L6" s="22">
        <v>7</v>
      </c>
      <c r="M6" s="22">
        <v>8</v>
      </c>
      <c r="N6" s="22">
        <v>7</v>
      </c>
      <c r="O6" s="22">
        <v>7</v>
      </c>
      <c r="P6" s="22">
        <v>5.5</v>
      </c>
      <c r="Q6" s="22">
        <v>7</v>
      </c>
      <c r="R6" s="22">
        <v>5</v>
      </c>
      <c r="S6" s="22">
        <v>5</v>
      </c>
      <c r="T6" s="29">
        <f t="shared" si="0"/>
        <v>96</v>
      </c>
      <c r="U6" s="30">
        <f t="shared" si="1"/>
        <v>6</v>
      </c>
      <c r="V6" s="31"/>
      <c r="W6" s="29">
        <f>SUM('Nilai Tahriri'!AG4,'Nilai Syafahi'!T6)</f>
        <v>223.7</v>
      </c>
      <c r="X6" s="29">
        <f>AVERAGE(D6:S6,'Nilai Tahriri'!D4:AF4)</f>
        <v>6.0459459459459461</v>
      </c>
      <c r="Y6" s="32">
        <f t="array" aca="1" ref="Y6" ca="1">SUM(IF(W6&lt;OFFSET($W$4,0,0,COUNT(W:W),1),1/COUNTIF(OFFSET($W$4,0,0,COUNT(W:W),1),OFFSET($W$4,0,0,COUNT(W:W),1))))+1</f>
        <v>27</v>
      </c>
      <c r="Z6" s="33" t="s">
        <v>278</v>
      </c>
    </row>
    <row r="7" spans="1:26" ht="15.5">
      <c r="A7" s="11">
        <f>'Data Siswa'!A5</f>
        <v>4</v>
      </c>
      <c r="B7" s="37" t="str">
        <f>'Data Siswa'!B5</f>
        <v>AYU FITRI RAMADHANI</v>
      </c>
      <c r="C7" s="11" t="str">
        <f>'Data Siswa'!C5</f>
        <v>1100</v>
      </c>
      <c r="D7" s="22">
        <v>4</v>
      </c>
      <c r="E7" s="22">
        <v>4.5</v>
      </c>
      <c r="F7" s="22">
        <v>5</v>
      </c>
      <c r="G7" s="22">
        <v>4</v>
      </c>
      <c r="H7" s="22">
        <v>5</v>
      </c>
      <c r="I7" s="22">
        <v>5</v>
      </c>
      <c r="J7" s="22">
        <v>7</v>
      </c>
      <c r="K7" s="22">
        <v>6</v>
      </c>
      <c r="L7" s="22">
        <v>6</v>
      </c>
      <c r="M7" s="22">
        <v>6</v>
      </c>
      <c r="N7" s="22">
        <v>6</v>
      </c>
      <c r="O7" s="22">
        <v>7</v>
      </c>
      <c r="P7" s="22">
        <v>6</v>
      </c>
      <c r="Q7" s="22">
        <v>7</v>
      </c>
      <c r="R7" s="22">
        <v>6</v>
      </c>
      <c r="S7" s="22">
        <v>7</v>
      </c>
      <c r="T7" s="29">
        <f t="shared" si="0"/>
        <v>91.5</v>
      </c>
      <c r="U7" s="30">
        <f t="shared" si="1"/>
        <v>5.71875</v>
      </c>
      <c r="V7" s="31"/>
      <c r="W7" s="29">
        <f>SUM('Nilai Tahriri'!AG5,'Nilai Syafahi'!T7)</f>
        <v>243.4</v>
      </c>
      <c r="X7" s="29">
        <f>AVERAGE(D7:S7,'Nilai Tahriri'!D5:AF5)</f>
        <v>5.7952380952380951</v>
      </c>
      <c r="Y7" s="32">
        <f t="array" aca="1" ref="Y7" ca="1">SUM(IF(W7&lt;OFFSET($W$4,0,0,COUNT(W:W),1),1/COUNTIF(OFFSET($W$4,0,0,COUNT(W:W),1),OFFSET($W$4,0,0,COUNT(W:W),1))))+1</f>
        <v>16</v>
      </c>
      <c r="Z7" s="33" t="s">
        <v>278</v>
      </c>
    </row>
    <row r="8" spans="1:26" ht="15.5">
      <c r="A8" s="11">
        <f>'Data Siswa'!A6</f>
        <v>5</v>
      </c>
      <c r="B8" s="37" t="str">
        <f>'Data Siswa'!B6</f>
        <v>BUNGA AULIA</v>
      </c>
      <c r="C8" s="11" t="str">
        <f>'Data Siswa'!C6</f>
        <v>1101</v>
      </c>
      <c r="D8" s="22">
        <v>4.5</v>
      </c>
      <c r="E8" s="22">
        <v>4.5</v>
      </c>
      <c r="F8" s="22">
        <v>5</v>
      </c>
      <c r="G8" s="22">
        <v>4.5</v>
      </c>
      <c r="H8" s="22">
        <v>5</v>
      </c>
      <c r="I8" s="22">
        <v>5</v>
      </c>
      <c r="J8" s="22">
        <v>6</v>
      </c>
      <c r="K8" s="22">
        <v>5</v>
      </c>
      <c r="L8" s="22">
        <v>5</v>
      </c>
      <c r="M8" s="22">
        <v>5</v>
      </c>
      <c r="N8" s="22">
        <v>5</v>
      </c>
      <c r="O8" s="22">
        <v>5.5</v>
      </c>
      <c r="P8" s="22">
        <v>5</v>
      </c>
      <c r="Q8" s="22">
        <v>7</v>
      </c>
      <c r="R8" s="22">
        <v>6</v>
      </c>
      <c r="S8" s="22">
        <v>6</v>
      </c>
      <c r="T8" s="29">
        <f t="shared" si="0"/>
        <v>84</v>
      </c>
      <c r="U8" s="30">
        <f t="shared" si="1"/>
        <v>5.25</v>
      </c>
      <c r="V8" s="31"/>
      <c r="W8" s="29">
        <f>SUM('Nilai Tahriri'!AG6,'Nilai Syafahi'!T8)</f>
        <v>231.10000000000002</v>
      </c>
      <c r="X8" s="29">
        <f>AVERAGE(D8:S8,'Nilai Tahriri'!D6:AF6)</f>
        <v>5.5023809523809524</v>
      </c>
      <c r="Y8" s="32">
        <f t="array" aca="1" ref="Y8" ca="1">SUM(IF(W8&lt;OFFSET($W$4,0,0,COUNT(W:W),1),1/COUNTIF(OFFSET($W$4,0,0,COUNT(W:W),1),OFFSET($W$4,0,0,COUNT(W:W),1))))+1</f>
        <v>26</v>
      </c>
      <c r="Z8" s="33" t="s">
        <v>278</v>
      </c>
    </row>
    <row r="9" spans="1:26" ht="15.5">
      <c r="A9" s="11">
        <f>'Data Siswa'!A7</f>
        <v>6</v>
      </c>
      <c r="B9" s="37" t="str">
        <f>'Data Siswa'!B7</f>
        <v>DINA LAURA</v>
      </c>
      <c r="C9" s="11" t="str">
        <f>'Data Siswa'!C7</f>
        <v>1102</v>
      </c>
      <c r="D9" s="22">
        <v>5</v>
      </c>
      <c r="E9" s="22">
        <v>5.5</v>
      </c>
      <c r="F9" s="22">
        <v>6</v>
      </c>
      <c r="G9" s="22">
        <v>5</v>
      </c>
      <c r="H9" s="22">
        <v>6</v>
      </c>
      <c r="I9" s="22">
        <v>5</v>
      </c>
      <c r="J9" s="22">
        <v>6</v>
      </c>
      <c r="K9" s="22">
        <v>5</v>
      </c>
      <c r="L9" s="22">
        <v>5</v>
      </c>
      <c r="M9" s="22">
        <v>5</v>
      </c>
      <c r="N9" s="22">
        <v>5</v>
      </c>
      <c r="O9" s="22">
        <v>7.5</v>
      </c>
      <c r="P9" s="22">
        <v>7</v>
      </c>
      <c r="Q9" s="22">
        <v>7</v>
      </c>
      <c r="R9" s="22">
        <v>7</v>
      </c>
      <c r="S9" s="22">
        <v>7</v>
      </c>
      <c r="T9" s="29">
        <f t="shared" si="0"/>
        <v>94</v>
      </c>
      <c r="U9" s="30">
        <f t="shared" si="1"/>
        <v>5.875</v>
      </c>
      <c r="V9" s="31"/>
      <c r="W9" s="29">
        <f>SUM('Nilai Tahriri'!AG7,'Nilai Syafahi'!T9)</f>
        <v>261.2</v>
      </c>
      <c r="X9" s="29">
        <f>AVERAGE(D9:S9,'Nilai Tahriri'!D7:AF7)</f>
        <v>6.2190476190476192</v>
      </c>
      <c r="Y9" s="32">
        <f t="array" aca="1" ref="Y9" ca="1">SUM(IF(W9&lt;OFFSET($W$4,0,0,COUNT(W:W),1),1/COUNTIF(OFFSET($W$4,0,0,COUNT(W:W),1),OFFSET($W$4,0,0,COUNT(W:W),1))))+1</f>
        <v>10</v>
      </c>
      <c r="Z9" s="33" t="s">
        <v>278</v>
      </c>
    </row>
    <row r="10" spans="1:26" ht="15.5">
      <c r="A10" s="11">
        <f>'Data Siswa'!A8</f>
        <v>7</v>
      </c>
      <c r="B10" s="37" t="str">
        <f>'Data Siswa'!B8</f>
        <v>EVI OKTAVIANI</v>
      </c>
      <c r="C10" s="11" t="str">
        <f>'Data Siswa'!C8</f>
        <v>1103</v>
      </c>
      <c r="D10" s="22">
        <v>5</v>
      </c>
      <c r="E10" s="22">
        <v>6</v>
      </c>
      <c r="F10" s="22">
        <v>6</v>
      </c>
      <c r="G10" s="22">
        <v>6</v>
      </c>
      <c r="H10" s="22">
        <v>6</v>
      </c>
      <c r="I10" s="22">
        <v>5.5</v>
      </c>
      <c r="J10" s="22">
        <v>6</v>
      </c>
      <c r="K10" s="22">
        <v>6</v>
      </c>
      <c r="L10" s="22">
        <v>6</v>
      </c>
      <c r="M10" s="22">
        <v>6</v>
      </c>
      <c r="N10" s="22">
        <v>6</v>
      </c>
      <c r="O10" s="22">
        <v>7</v>
      </c>
      <c r="P10" s="22">
        <v>7</v>
      </c>
      <c r="Q10" s="22">
        <v>7</v>
      </c>
      <c r="R10" s="22">
        <v>6</v>
      </c>
      <c r="S10" s="22">
        <v>6</v>
      </c>
      <c r="T10" s="29">
        <f t="shared" si="0"/>
        <v>97.5</v>
      </c>
      <c r="U10" s="30">
        <f t="shared" si="1"/>
        <v>6.09375</v>
      </c>
      <c r="V10" s="31"/>
      <c r="W10" s="29">
        <f>SUM('Nilai Tahriri'!AG8,'Nilai Syafahi'!T10)</f>
        <v>278.3</v>
      </c>
      <c r="X10" s="29">
        <f>AVERAGE(D10:S10,'Nilai Tahriri'!D8:AF8)</f>
        <v>6.6261904761904766</v>
      </c>
      <c r="Y10" s="32">
        <f t="array" aca="1" ref="Y10" ca="1">SUM(IF(W10&lt;OFFSET($W$4,0,0,COUNT(W:W),1),1/COUNTIF(OFFSET($W$4,0,0,COUNT(W:W),1),OFFSET($W$4,0,0,COUNT(W:W),1))))+1</f>
        <v>4</v>
      </c>
      <c r="Z10" s="33" t="s">
        <v>278</v>
      </c>
    </row>
    <row r="11" spans="1:26" ht="15.5">
      <c r="A11" s="11">
        <f>'Data Siswa'!A9</f>
        <v>8</v>
      </c>
      <c r="B11" s="37" t="str">
        <f>'Data Siswa'!B9</f>
        <v>INDAH MAELANI</v>
      </c>
      <c r="C11" s="11" t="str">
        <f>'Data Siswa'!C9</f>
        <v>1104</v>
      </c>
      <c r="D11" s="22">
        <v>5</v>
      </c>
      <c r="E11" s="22">
        <v>6</v>
      </c>
      <c r="F11" s="22">
        <v>5</v>
      </c>
      <c r="G11" s="22">
        <v>4.5</v>
      </c>
      <c r="H11" s="22">
        <v>5</v>
      </c>
      <c r="I11" s="22">
        <v>5.5</v>
      </c>
      <c r="J11" s="22">
        <v>6</v>
      </c>
      <c r="K11" s="22">
        <v>5</v>
      </c>
      <c r="L11" s="22">
        <v>5</v>
      </c>
      <c r="M11" s="22">
        <v>5</v>
      </c>
      <c r="N11" s="22">
        <v>5</v>
      </c>
      <c r="O11" s="22">
        <v>5.5</v>
      </c>
      <c r="P11" s="22">
        <v>6</v>
      </c>
      <c r="Q11" s="22">
        <v>6</v>
      </c>
      <c r="R11" s="22">
        <v>6</v>
      </c>
      <c r="S11" s="22">
        <v>6</v>
      </c>
      <c r="T11" s="29">
        <f t="shared" si="0"/>
        <v>86.5</v>
      </c>
      <c r="U11" s="30">
        <f t="shared" si="1"/>
        <v>5.40625</v>
      </c>
      <c r="V11" s="31"/>
      <c r="W11" s="29">
        <f>SUM('Nilai Tahriri'!AG9,'Nilai Syafahi'!T11)</f>
        <v>239.70000000000002</v>
      </c>
      <c r="X11" s="29">
        <f>AVERAGE(D11:S11,'Nilai Tahriri'!D9:AF9)</f>
        <v>5.7071428571428573</v>
      </c>
      <c r="Y11" s="32">
        <f t="array" aca="1" ref="Y11" ca="1">SUM(IF(W11&lt;OFFSET($W$4,0,0,COUNT(W:W),1),1/COUNTIF(OFFSET($W$4,0,0,COUNT(W:W),1),OFFSET($W$4,0,0,COUNT(W:W),1))))+1</f>
        <v>22</v>
      </c>
      <c r="Z11" s="33" t="s">
        <v>278</v>
      </c>
    </row>
    <row r="12" spans="1:26" ht="15.5">
      <c r="A12" s="11">
        <f>'Data Siswa'!A10</f>
        <v>9</v>
      </c>
      <c r="B12" s="37" t="str">
        <f>'Data Siswa'!B10</f>
        <v>MAR'AH AINUN NABILAH</v>
      </c>
      <c r="C12" s="11" t="str">
        <f>'Data Siswa'!C10</f>
        <v>1105</v>
      </c>
      <c r="D12" s="22">
        <v>5.5</v>
      </c>
      <c r="E12" s="22">
        <v>6</v>
      </c>
      <c r="F12" s="22">
        <v>5.5</v>
      </c>
      <c r="G12" s="22">
        <v>5</v>
      </c>
      <c r="H12" s="22">
        <v>5</v>
      </c>
      <c r="I12" s="22">
        <v>5</v>
      </c>
      <c r="J12" s="22">
        <v>6</v>
      </c>
      <c r="K12" s="22">
        <v>5</v>
      </c>
      <c r="L12" s="22">
        <v>5</v>
      </c>
      <c r="M12" s="22">
        <v>5</v>
      </c>
      <c r="N12" s="22">
        <v>5</v>
      </c>
      <c r="O12" s="22">
        <v>6.5</v>
      </c>
      <c r="P12" s="22">
        <v>5</v>
      </c>
      <c r="Q12" s="22">
        <v>6</v>
      </c>
      <c r="R12" s="22">
        <v>5</v>
      </c>
      <c r="S12" s="22">
        <v>6.5</v>
      </c>
      <c r="T12" s="29">
        <f t="shared" si="0"/>
        <v>87</v>
      </c>
      <c r="U12" s="30">
        <f t="shared" si="1"/>
        <v>5.4375</v>
      </c>
      <c r="V12" s="31"/>
      <c r="W12" s="29">
        <f>SUM('Nilai Tahriri'!AG10,'Nilai Syafahi'!T12)</f>
        <v>243</v>
      </c>
      <c r="X12" s="29">
        <f>AVERAGE(D12:S12,'Nilai Tahriri'!D10:AF10)</f>
        <v>5.7857142857142847</v>
      </c>
      <c r="Y12" s="32">
        <f t="array" aca="1" ref="Y12" ca="1">SUM(IF(W12&lt;OFFSET($W$4,0,0,COUNT(W:W),1),1/COUNTIF(OFFSET($W$4,0,0,COUNT(W:W),1),OFFSET($W$4,0,0,COUNT(W:W),1))))+1</f>
        <v>17</v>
      </c>
      <c r="Z12" s="33" t="s">
        <v>278</v>
      </c>
    </row>
    <row r="13" spans="1:26" ht="15.5">
      <c r="A13" s="11">
        <f>'Data Siswa'!A11</f>
        <v>10</v>
      </c>
      <c r="B13" s="37" t="str">
        <f>'Data Siswa'!B11</f>
        <v>MUTIARA INDAH PRATIWI</v>
      </c>
      <c r="C13" s="11" t="str">
        <f>'Data Siswa'!C11</f>
        <v>1106</v>
      </c>
      <c r="D13" s="22">
        <v>5.5</v>
      </c>
      <c r="E13" s="22">
        <v>6</v>
      </c>
      <c r="F13" s="22">
        <v>6</v>
      </c>
      <c r="G13" s="22">
        <v>5</v>
      </c>
      <c r="H13" s="22">
        <v>5.5</v>
      </c>
      <c r="I13" s="22">
        <v>5.5</v>
      </c>
      <c r="J13" s="22">
        <v>6</v>
      </c>
      <c r="K13" s="22">
        <v>5</v>
      </c>
      <c r="L13" s="22">
        <v>5</v>
      </c>
      <c r="M13" s="22">
        <v>5</v>
      </c>
      <c r="N13" s="22">
        <v>5</v>
      </c>
      <c r="O13" s="22">
        <v>6</v>
      </c>
      <c r="P13" s="22">
        <v>5</v>
      </c>
      <c r="Q13" s="22">
        <v>6</v>
      </c>
      <c r="R13" s="22">
        <v>5</v>
      </c>
      <c r="S13" s="22">
        <v>6</v>
      </c>
      <c r="T13" s="29">
        <f t="shared" si="0"/>
        <v>87.5</v>
      </c>
      <c r="U13" s="30">
        <f t="shared" si="1"/>
        <v>5.46875</v>
      </c>
      <c r="V13" s="31"/>
      <c r="W13" s="29">
        <f>SUM('Nilai Tahriri'!AG11,'Nilai Syafahi'!T13)</f>
        <v>242.79999999999998</v>
      </c>
      <c r="X13" s="29">
        <f>AVERAGE(D13:S13,'Nilai Tahriri'!D11:AF11)</f>
        <v>5.7809523809523808</v>
      </c>
      <c r="Y13" s="32">
        <f t="array" aca="1" ref="Y13" ca="1">SUM(IF(W13&lt;OFFSET($W$4,0,0,COUNT(W:W),1),1/COUNTIF(OFFSET($W$4,0,0,COUNT(W:W),1),OFFSET($W$4,0,0,COUNT(W:W),1))))+1</f>
        <v>18</v>
      </c>
      <c r="Z13" s="33" t="s">
        <v>278</v>
      </c>
    </row>
    <row r="14" spans="1:26" ht="15.5">
      <c r="A14" s="11">
        <f>'Data Siswa'!A12</f>
        <v>11</v>
      </c>
      <c r="B14" s="37" t="str">
        <f>'Data Siswa'!B12</f>
        <v>NAILA RIZKI ARABELA</v>
      </c>
      <c r="C14" s="11" t="str">
        <f>'Data Siswa'!C12</f>
        <v>1107</v>
      </c>
      <c r="D14" s="22">
        <v>5</v>
      </c>
      <c r="E14" s="22">
        <v>5</v>
      </c>
      <c r="F14" s="22">
        <v>5</v>
      </c>
      <c r="G14" s="22">
        <v>5</v>
      </c>
      <c r="H14" s="22">
        <v>5</v>
      </c>
      <c r="I14" s="22">
        <v>5</v>
      </c>
      <c r="J14" s="22">
        <v>6</v>
      </c>
      <c r="K14" s="22">
        <v>5</v>
      </c>
      <c r="L14" s="22">
        <v>5</v>
      </c>
      <c r="M14" s="22">
        <v>6</v>
      </c>
      <c r="N14" s="22">
        <v>6</v>
      </c>
      <c r="O14" s="22">
        <v>6</v>
      </c>
      <c r="P14" s="22">
        <v>5</v>
      </c>
      <c r="Q14" s="22">
        <v>6</v>
      </c>
      <c r="R14" s="22">
        <v>5</v>
      </c>
      <c r="S14" s="22">
        <v>6</v>
      </c>
      <c r="T14" s="29">
        <f t="shared" si="0"/>
        <v>86</v>
      </c>
      <c r="U14" s="30">
        <f t="shared" si="1"/>
        <v>5.375</v>
      </c>
      <c r="V14" s="31"/>
      <c r="W14" s="29">
        <f>SUM('Nilai Tahriri'!AG12,'Nilai Syafahi'!T14)</f>
        <v>238.4</v>
      </c>
      <c r="X14" s="29">
        <f>AVERAGE(D14:S14,'Nilai Tahriri'!D12:AF12)</f>
        <v>5.6761904761904756</v>
      </c>
      <c r="Y14" s="32">
        <f t="array" aca="1" ref="Y14" ca="1">SUM(IF(W14&lt;OFFSET($W$4,0,0,COUNT(W:W),1),1/COUNTIF(OFFSET($W$4,0,0,COUNT(W:W),1),OFFSET($W$4,0,0,COUNT(W:W),1))))+1</f>
        <v>24</v>
      </c>
      <c r="Z14" s="33" t="s">
        <v>278</v>
      </c>
    </row>
    <row r="15" spans="1:26" ht="15.5">
      <c r="A15" s="11">
        <f>'Data Siswa'!A13</f>
        <v>12</v>
      </c>
      <c r="B15" s="37" t="str">
        <f>'Data Siswa'!B13</f>
        <v>NAILA SEPTIANI</v>
      </c>
      <c r="C15" s="11" t="str">
        <f>'Data Siswa'!C13</f>
        <v>1108</v>
      </c>
      <c r="D15" s="22">
        <v>5</v>
      </c>
      <c r="E15" s="22">
        <v>5</v>
      </c>
      <c r="F15" s="22">
        <v>5</v>
      </c>
      <c r="G15" s="22">
        <v>4.5</v>
      </c>
      <c r="H15" s="22">
        <v>5</v>
      </c>
      <c r="I15" s="22">
        <v>5</v>
      </c>
      <c r="J15" s="22">
        <v>6</v>
      </c>
      <c r="K15" s="22">
        <v>5</v>
      </c>
      <c r="L15" s="22">
        <v>5</v>
      </c>
      <c r="M15" s="22">
        <v>6</v>
      </c>
      <c r="N15" s="22">
        <v>6</v>
      </c>
      <c r="O15" s="22">
        <v>7</v>
      </c>
      <c r="P15" s="22">
        <v>6</v>
      </c>
      <c r="Q15" s="22">
        <v>6</v>
      </c>
      <c r="R15" s="22">
        <v>5</v>
      </c>
      <c r="S15" s="22">
        <v>7.5</v>
      </c>
      <c r="T15" s="29">
        <f t="shared" si="0"/>
        <v>89</v>
      </c>
      <c r="U15" s="30">
        <f t="shared" si="1"/>
        <v>5.5625</v>
      </c>
      <c r="V15" s="31"/>
      <c r="W15" s="29">
        <f>SUM('Nilai Tahriri'!AG13,'Nilai Syafahi'!T15)</f>
        <v>255</v>
      </c>
      <c r="X15" s="29">
        <f>AVERAGE(D15:S15,'Nilai Tahriri'!D13:AF13)</f>
        <v>6.0714285714285712</v>
      </c>
      <c r="Y15" s="32">
        <f t="array" aca="1" ref="Y15" ca="1">SUM(IF(W15&lt;OFFSET($W$4,0,0,COUNT(W:W),1),1/COUNTIF(OFFSET($W$4,0,0,COUNT(W:W),1),OFFSET($W$4,0,0,COUNT(W:W),1))))+1</f>
        <v>11</v>
      </c>
      <c r="Z15" s="33" t="s">
        <v>278</v>
      </c>
    </row>
    <row r="16" spans="1:26" ht="15.5">
      <c r="A16" s="11">
        <f>'Data Siswa'!A14</f>
        <v>13</v>
      </c>
      <c r="B16" s="37" t="str">
        <f>'Data Siswa'!B14</f>
        <v>NURUL ANNISA HARAHAP</v>
      </c>
      <c r="C16" s="11" t="str">
        <f>'Data Siswa'!C14</f>
        <v>1109</v>
      </c>
      <c r="D16" s="22">
        <v>5.5</v>
      </c>
      <c r="E16" s="22">
        <v>7</v>
      </c>
      <c r="F16" s="22">
        <v>7</v>
      </c>
      <c r="G16" s="22">
        <v>5.5</v>
      </c>
      <c r="H16" s="22">
        <v>6.5</v>
      </c>
      <c r="I16" s="22">
        <v>5.5</v>
      </c>
      <c r="J16" s="22">
        <v>6</v>
      </c>
      <c r="K16" s="22">
        <v>5</v>
      </c>
      <c r="L16" s="22">
        <v>5</v>
      </c>
      <c r="M16" s="22">
        <v>6</v>
      </c>
      <c r="N16" s="22">
        <v>5</v>
      </c>
      <c r="O16" s="22">
        <v>7</v>
      </c>
      <c r="P16" s="22">
        <v>7</v>
      </c>
      <c r="Q16" s="22">
        <v>7</v>
      </c>
      <c r="R16" s="22">
        <v>7</v>
      </c>
      <c r="S16" s="22">
        <v>7</v>
      </c>
      <c r="T16" s="29">
        <f t="shared" si="0"/>
        <v>99</v>
      </c>
      <c r="U16" s="30">
        <f t="shared" si="1"/>
        <v>6.1875</v>
      </c>
      <c r="V16" s="31"/>
      <c r="W16" s="29">
        <f>SUM('Nilai Tahriri'!AG14,'Nilai Syafahi'!T16)</f>
        <v>274</v>
      </c>
      <c r="X16" s="29">
        <f>AVERAGE(D16:S16,'Nilai Tahriri'!D14:AF14)</f>
        <v>6.5238095238095237</v>
      </c>
      <c r="Y16" s="32">
        <f t="array" aca="1" ref="Y16" ca="1">SUM(IF(W16&lt;OFFSET($W$4,0,0,COUNT(W:W),1),1/COUNTIF(OFFSET($W$4,0,0,COUNT(W:W),1),OFFSET($W$4,0,0,COUNT(W:W),1))))+1</f>
        <v>6</v>
      </c>
      <c r="Z16" s="33" t="s">
        <v>278</v>
      </c>
    </row>
    <row r="17" spans="1:26" ht="15.5">
      <c r="A17" s="11">
        <f>'Data Siswa'!A15</f>
        <v>14</v>
      </c>
      <c r="B17" s="37" t="str">
        <f>'Data Siswa'!B15</f>
        <v>RATU NUR ERISYA RADESTA</v>
      </c>
      <c r="C17" s="11" t="str">
        <f>'Data Siswa'!C15</f>
        <v>1110</v>
      </c>
      <c r="D17" s="22">
        <v>5</v>
      </c>
      <c r="E17" s="22">
        <v>4.5</v>
      </c>
      <c r="F17" s="22">
        <v>5</v>
      </c>
      <c r="G17" s="22">
        <v>5.5</v>
      </c>
      <c r="H17" s="22">
        <v>5</v>
      </c>
      <c r="I17" s="22">
        <v>5.5</v>
      </c>
      <c r="J17" s="22">
        <v>6</v>
      </c>
      <c r="K17" s="22">
        <v>6</v>
      </c>
      <c r="L17" s="22">
        <v>6</v>
      </c>
      <c r="M17" s="22">
        <v>6</v>
      </c>
      <c r="N17" s="22">
        <v>6</v>
      </c>
      <c r="O17" s="22">
        <v>6.5</v>
      </c>
      <c r="P17" s="22">
        <v>7</v>
      </c>
      <c r="Q17" s="22">
        <v>7</v>
      </c>
      <c r="R17" s="22">
        <v>7</v>
      </c>
      <c r="S17" s="22">
        <v>7</v>
      </c>
      <c r="T17" s="29">
        <f t="shared" si="0"/>
        <v>95</v>
      </c>
      <c r="U17" s="30">
        <f t="shared" si="1"/>
        <v>5.9375</v>
      </c>
      <c r="V17" s="31"/>
      <c r="W17" s="29">
        <f>SUM('Nilai Tahriri'!AG15,'Nilai Syafahi'!T17)</f>
        <v>247.79999999999998</v>
      </c>
      <c r="X17" s="29">
        <f>AVERAGE(D17:S17,'Nilai Tahriri'!D15:AF15)</f>
        <v>5.8999999999999995</v>
      </c>
      <c r="Y17" s="32">
        <f t="array" aca="1" ref="Y17" ca="1">SUM(IF(W17&lt;OFFSET($W$4,0,0,COUNT(W:W),1),1/COUNTIF(OFFSET($W$4,0,0,COUNT(W:W),1),OFFSET($W$4,0,0,COUNT(W:W),1))))+1</f>
        <v>14</v>
      </c>
      <c r="Z17" s="33" t="s">
        <v>278</v>
      </c>
    </row>
    <row r="18" spans="1:26" ht="15.5">
      <c r="A18" s="11">
        <f>'Data Siswa'!A16</f>
        <v>15</v>
      </c>
      <c r="B18" s="37" t="str">
        <f>'Data Siswa'!B16</f>
        <v>RISMA YANTI MAESARAH</v>
      </c>
      <c r="C18" s="11" t="str">
        <f>'Data Siswa'!C16</f>
        <v>1111</v>
      </c>
      <c r="D18" s="22">
        <v>5</v>
      </c>
      <c r="E18" s="22">
        <v>4</v>
      </c>
      <c r="F18" s="22">
        <v>4</v>
      </c>
      <c r="G18" s="22">
        <v>5</v>
      </c>
      <c r="H18" s="22">
        <v>5</v>
      </c>
      <c r="I18" s="22">
        <v>5.5</v>
      </c>
      <c r="J18" s="22">
        <v>6</v>
      </c>
      <c r="K18" s="22">
        <v>6</v>
      </c>
      <c r="L18" s="22">
        <v>6</v>
      </c>
      <c r="M18" s="22">
        <v>6</v>
      </c>
      <c r="N18" s="22">
        <v>6</v>
      </c>
      <c r="O18" s="22">
        <v>6</v>
      </c>
      <c r="P18" s="22">
        <v>7</v>
      </c>
      <c r="Q18" s="22">
        <v>7</v>
      </c>
      <c r="R18" s="22">
        <v>5</v>
      </c>
      <c r="S18" s="22">
        <v>7</v>
      </c>
      <c r="T18" s="29">
        <f t="shared" si="0"/>
        <v>90.5</v>
      </c>
      <c r="U18" s="30">
        <f t="shared" si="1"/>
        <v>5.65625</v>
      </c>
      <c r="V18" s="31"/>
      <c r="W18" s="29">
        <f>SUM('Nilai Tahriri'!AG16,'Nilai Syafahi'!T18)</f>
        <v>240.6</v>
      </c>
      <c r="X18" s="29">
        <f>AVERAGE(D18:S18,'Nilai Tahriri'!D16:AF16)</f>
        <v>5.7285714285714278</v>
      </c>
      <c r="Y18" s="32">
        <f t="array" aca="1" ref="Y18" ca="1">SUM(IF(W18&lt;OFFSET($W$4,0,0,COUNT(W:W),1),1/COUNTIF(OFFSET($W$4,0,0,COUNT(W:W),1),OFFSET($W$4,0,0,COUNT(W:W),1))))+1</f>
        <v>19</v>
      </c>
      <c r="Z18" s="33" t="s">
        <v>278</v>
      </c>
    </row>
    <row r="19" spans="1:26" ht="15.5">
      <c r="A19" s="11">
        <f>'Data Siswa'!A17</f>
        <v>16</v>
      </c>
      <c r="B19" s="37" t="str">
        <f>'Data Siswa'!B17</f>
        <v>RIZKA KAMILATUL ULYA</v>
      </c>
      <c r="C19" s="11" t="str">
        <f>'Data Siswa'!C17</f>
        <v>1112</v>
      </c>
      <c r="D19" s="22">
        <v>5</v>
      </c>
      <c r="E19" s="22">
        <v>5</v>
      </c>
      <c r="F19" s="22">
        <v>4</v>
      </c>
      <c r="G19" s="22">
        <v>5</v>
      </c>
      <c r="H19" s="22">
        <v>5</v>
      </c>
      <c r="I19" s="22">
        <v>5</v>
      </c>
      <c r="J19" s="22">
        <v>6</v>
      </c>
      <c r="K19" s="22">
        <v>5</v>
      </c>
      <c r="L19" s="22">
        <v>5</v>
      </c>
      <c r="M19" s="22">
        <v>6</v>
      </c>
      <c r="N19" s="22">
        <v>5</v>
      </c>
      <c r="O19" s="22">
        <v>6.5</v>
      </c>
      <c r="P19" s="22">
        <v>6</v>
      </c>
      <c r="Q19" s="22">
        <v>6</v>
      </c>
      <c r="R19" s="22">
        <v>5</v>
      </c>
      <c r="S19" s="22">
        <v>7</v>
      </c>
      <c r="T19" s="29">
        <f t="shared" si="0"/>
        <v>86.5</v>
      </c>
      <c r="U19" s="30">
        <f t="shared" si="1"/>
        <v>5.40625</v>
      </c>
      <c r="V19" s="31"/>
      <c r="W19" s="29">
        <f>SUM('Nilai Tahriri'!AG17,'Nilai Syafahi'!T19)</f>
        <v>238.89999999999998</v>
      </c>
      <c r="X19" s="29">
        <f>AVERAGE(D19:S19,'Nilai Tahriri'!D17:AF17)</f>
        <v>5.6880952380952383</v>
      </c>
      <c r="Y19" s="32">
        <f t="array" aca="1" ref="Y19" ca="1">SUM(IF(W19&lt;OFFSET($W$4,0,0,COUNT(W:W),1),1/COUNTIF(OFFSET($W$4,0,0,COUNT(W:W),1),OFFSET($W$4,0,0,COUNT(W:W),1))))+1</f>
        <v>23</v>
      </c>
      <c r="Z19" s="33" t="s">
        <v>278</v>
      </c>
    </row>
    <row r="20" spans="1:26" ht="15.5">
      <c r="A20" s="11">
        <f>'Data Siswa'!A18</f>
        <v>17</v>
      </c>
      <c r="B20" s="37" t="str">
        <f>'Data Siswa'!B18</f>
        <v>RONA IMRONA</v>
      </c>
      <c r="C20" s="11" t="str">
        <f>'Data Siswa'!C18</f>
        <v>1113</v>
      </c>
      <c r="D20" s="22">
        <v>5</v>
      </c>
      <c r="E20" s="22">
        <v>6.5</v>
      </c>
      <c r="F20" s="22">
        <v>6</v>
      </c>
      <c r="G20" s="22">
        <v>5.5</v>
      </c>
      <c r="H20" s="22">
        <v>5.5</v>
      </c>
      <c r="I20" s="22">
        <v>5</v>
      </c>
      <c r="J20" s="22">
        <v>6</v>
      </c>
      <c r="K20" s="22">
        <v>5</v>
      </c>
      <c r="L20" s="22">
        <v>5</v>
      </c>
      <c r="M20" s="22">
        <v>5</v>
      </c>
      <c r="N20" s="22">
        <v>5</v>
      </c>
      <c r="O20" s="22">
        <v>7</v>
      </c>
      <c r="P20" s="22">
        <v>6</v>
      </c>
      <c r="Q20" s="22">
        <v>5.5</v>
      </c>
      <c r="R20" s="22">
        <v>7</v>
      </c>
      <c r="S20" s="22">
        <v>7</v>
      </c>
      <c r="T20" s="29">
        <f t="shared" si="0"/>
        <v>92</v>
      </c>
      <c r="U20" s="30">
        <f t="shared" si="1"/>
        <v>5.75</v>
      </c>
      <c r="V20" s="31"/>
      <c r="W20" s="29">
        <f>SUM('Nilai Tahriri'!AG18,'Nilai Syafahi'!T20)</f>
        <v>252.6</v>
      </c>
      <c r="X20" s="29">
        <f>AVERAGE(D20:S20,'Nilai Tahriri'!D18:AF18)</f>
        <v>6.0142857142857142</v>
      </c>
      <c r="Y20" s="32">
        <f t="array" aca="1" ref="Y20" ca="1">SUM(IF(W20&lt;OFFSET($W$4,0,0,COUNT(W:W),1),1/COUNTIF(OFFSET($W$4,0,0,COUNT(W:W),1),OFFSET($W$4,0,0,COUNT(W:W),1))))+1</f>
        <v>12</v>
      </c>
      <c r="Z20" s="33" t="s">
        <v>278</v>
      </c>
    </row>
    <row r="21" spans="1:26" ht="15.5">
      <c r="A21" s="11">
        <f>'Data Siswa'!A19</f>
        <v>18</v>
      </c>
      <c r="B21" s="37" t="str">
        <f>'Data Siswa'!B19</f>
        <v>RUFAIDAH AZZAHRA</v>
      </c>
      <c r="C21" s="11" t="str">
        <f>'Data Siswa'!C19</f>
        <v>1114</v>
      </c>
      <c r="D21" s="22">
        <v>7</v>
      </c>
      <c r="E21" s="22">
        <v>6.5</v>
      </c>
      <c r="F21" s="22">
        <v>7</v>
      </c>
      <c r="G21" s="22">
        <v>7</v>
      </c>
      <c r="H21" s="22">
        <v>7</v>
      </c>
      <c r="I21" s="22">
        <v>6</v>
      </c>
      <c r="J21" s="22">
        <v>7</v>
      </c>
      <c r="K21" s="22">
        <v>6</v>
      </c>
      <c r="L21" s="22">
        <v>6</v>
      </c>
      <c r="M21" s="22">
        <v>7</v>
      </c>
      <c r="N21" s="22">
        <v>7</v>
      </c>
      <c r="O21" s="22">
        <v>7</v>
      </c>
      <c r="P21" s="22">
        <v>7</v>
      </c>
      <c r="Q21" s="22">
        <v>7</v>
      </c>
      <c r="R21" s="22">
        <v>6</v>
      </c>
      <c r="S21" s="22">
        <v>7</v>
      </c>
      <c r="T21" s="29">
        <f t="shared" si="0"/>
        <v>107.5</v>
      </c>
      <c r="U21" s="30">
        <f t="shared" si="1"/>
        <v>6.71875</v>
      </c>
      <c r="V21" s="31"/>
      <c r="W21" s="29">
        <f>SUM('Nilai Tahriri'!AG19,'Nilai Syafahi'!T21)</f>
        <v>269</v>
      </c>
      <c r="X21" s="29">
        <f>AVERAGE(D21:S21,'Nilai Tahriri'!D19:AF19)</f>
        <v>6.4047619047619051</v>
      </c>
      <c r="Y21" s="32">
        <f t="array" aca="1" ref="Y21" ca="1">SUM(IF(W21&lt;OFFSET($W$4,0,0,COUNT(W:W),1),1/COUNTIF(OFFSET($W$4,0,0,COUNT(W:W),1),OFFSET($W$4,0,0,COUNT(W:W),1))))+1</f>
        <v>8</v>
      </c>
      <c r="Z21" s="33" t="s">
        <v>278</v>
      </c>
    </row>
    <row r="22" spans="1:26" ht="15.5">
      <c r="A22" s="11">
        <f>'Data Siswa'!A20</f>
        <v>19</v>
      </c>
      <c r="B22" s="37" t="str">
        <f>'Data Siswa'!B20</f>
        <v>SALWA JUHRATUNISA</v>
      </c>
      <c r="C22" s="11" t="str">
        <f>'Data Siswa'!C20</f>
        <v>1115</v>
      </c>
      <c r="D22" s="22">
        <v>5</v>
      </c>
      <c r="E22" s="22">
        <v>5</v>
      </c>
      <c r="F22" s="22">
        <v>4</v>
      </c>
      <c r="G22" s="22">
        <v>5</v>
      </c>
      <c r="H22" s="22">
        <v>5</v>
      </c>
      <c r="I22" s="22">
        <v>5.5</v>
      </c>
      <c r="J22" s="22">
        <v>6</v>
      </c>
      <c r="K22" s="22">
        <v>5</v>
      </c>
      <c r="L22" s="22">
        <v>5</v>
      </c>
      <c r="M22" s="22">
        <v>5</v>
      </c>
      <c r="N22" s="22">
        <v>5</v>
      </c>
      <c r="O22" s="22">
        <v>6</v>
      </c>
      <c r="P22" s="22">
        <v>5</v>
      </c>
      <c r="Q22" s="22">
        <v>5.5</v>
      </c>
      <c r="R22" s="22">
        <v>5</v>
      </c>
      <c r="S22" s="22">
        <v>7.5</v>
      </c>
      <c r="T22" s="29">
        <f t="shared" si="0"/>
        <v>84.5</v>
      </c>
      <c r="U22" s="30">
        <f t="shared" si="1"/>
        <v>5.28125</v>
      </c>
      <c r="V22" s="31"/>
      <c r="W22" s="29">
        <f>SUM('Nilai Tahriri'!AG20,'Nilai Syafahi'!T22)</f>
        <v>240</v>
      </c>
      <c r="X22" s="29">
        <f>AVERAGE(D22:S22,'Nilai Tahriri'!D20:AF20)</f>
        <v>5.7142857142857144</v>
      </c>
      <c r="Y22" s="32">
        <f t="array" aca="1" ref="Y22" ca="1">SUM(IF(W22&lt;OFFSET($W$4,0,0,COUNT(W:W),1),1/COUNTIF(OFFSET($W$4,0,0,COUNT(W:W),1),OFFSET($W$4,0,0,COUNT(W:W),1))))+1</f>
        <v>21</v>
      </c>
      <c r="Z22" s="33" t="s">
        <v>278</v>
      </c>
    </row>
    <row r="23" spans="1:26" ht="15.5">
      <c r="A23" s="11">
        <f>'Data Siswa'!A21</f>
        <v>20</v>
      </c>
      <c r="B23" s="37" t="str">
        <f>'Data Siswa'!B21</f>
        <v>SITI KHORIAH</v>
      </c>
      <c r="C23" s="11" t="str">
        <f>'Data Siswa'!C21</f>
        <v>1116</v>
      </c>
      <c r="D23" s="22">
        <v>5</v>
      </c>
      <c r="E23" s="22">
        <v>5.5</v>
      </c>
      <c r="F23" s="22">
        <v>5</v>
      </c>
      <c r="G23" s="22">
        <v>4</v>
      </c>
      <c r="H23" s="22">
        <v>5</v>
      </c>
      <c r="I23" s="22">
        <v>5</v>
      </c>
      <c r="J23" s="22">
        <v>6</v>
      </c>
      <c r="K23" s="22">
        <v>5</v>
      </c>
      <c r="L23" s="22">
        <v>5</v>
      </c>
      <c r="M23" s="22">
        <v>5</v>
      </c>
      <c r="N23" s="22">
        <v>5</v>
      </c>
      <c r="O23" s="22">
        <v>6.5</v>
      </c>
      <c r="P23" s="22">
        <v>7</v>
      </c>
      <c r="Q23" s="22">
        <v>7</v>
      </c>
      <c r="R23" s="22">
        <v>7</v>
      </c>
      <c r="S23" s="22">
        <v>7</v>
      </c>
      <c r="T23" s="29">
        <f t="shared" si="0"/>
        <v>90</v>
      </c>
      <c r="U23" s="30">
        <f t="shared" si="1"/>
        <v>5.625</v>
      </c>
      <c r="V23" s="31"/>
      <c r="W23" s="29">
        <f>SUM('Nilai Tahriri'!AG21,'Nilai Syafahi'!T23)</f>
        <v>250.1</v>
      </c>
      <c r="X23" s="29">
        <f>AVERAGE(D23:S23,'Nilai Tahriri'!D21:AF21)</f>
        <v>5.9547619047619049</v>
      </c>
      <c r="Y23" s="32">
        <f t="array" aca="1" ref="Y23" ca="1">SUM(IF(W23&lt;OFFSET($W$4,0,0,COUNT(W:W),1),1/COUNTIF(OFFSET($W$4,0,0,COUNT(W:W),1),OFFSET($W$4,0,0,COUNT(W:W),1))))+1</f>
        <v>13</v>
      </c>
      <c r="Z23" s="33" t="s">
        <v>278</v>
      </c>
    </row>
    <row r="24" spans="1:26" ht="15.5">
      <c r="A24" s="11">
        <f>'Data Siswa'!A22</f>
        <v>21</v>
      </c>
      <c r="B24" s="37" t="str">
        <f>'Data Siswa'!B22</f>
        <v>SITI MAESAROH</v>
      </c>
      <c r="C24" s="11" t="str">
        <f>'Data Siswa'!C22</f>
        <v>1117</v>
      </c>
      <c r="D24" s="22">
        <v>5</v>
      </c>
      <c r="E24" s="22">
        <v>4</v>
      </c>
      <c r="F24" s="22">
        <v>4</v>
      </c>
      <c r="G24" s="22">
        <v>4</v>
      </c>
      <c r="H24" s="22">
        <v>4</v>
      </c>
      <c r="I24" s="22">
        <v>4.5</v>
      </c>
      <c r="J24" s="22">
        <v>6</v>
      </c>
      <c r="K24" s="22">
        <v>5</v>
      </c>
      <c r="L24" s="22">
        <v>5</v>
      </c>
      <c r="M24" s="22">
        <v>5</v>
      </c>
      <c r="N24" s="22">
        <v>5</v>
      </c>
      <c r="O24" s="22">
        <v>6</v>
      </c>
      <c r="P24" s="22">
        <v>6</v>
      </c>
      <c r="Q24" s="22">
        <v>6</v>
      </c>
      <c r="R24" s="22">
        <v>5</v>
      </c>
      <c r="S24" s="22">
        <v>5</v>
      </c>
      <c r="T24" s="29">
        <f t="shared" si="0"/>
        <v>79.5</v>
      </c>
      <c r="U24" s="30">
        <f t="shared" si="1"/>
        <v>4.96875</v>
      </c>
      <c r="V24" s="31"/>
      <c r="W24" s="29">
        <f>SUM('Nilai Tahriri'!AG22,'Nilai Syafahi'!T24)</f>
        <v>223.5</v>
      </c>
      <c r="X24" s="29">
        <f>AVERAGE(D24:S24,'Nilai Tahriri'!D22:AF22)</f>
        <v>5.3214285714285721</v>
      </c>
      <c r="Y24" s="32">
        <f t="array" aca="1" ref="Y24" ca="1">SUM(IF(W24&lt;OFFSET($W$4,0,0,COUNT(W:W),1),1/COUNTIF(OFFSET($W$4,0,0,COUNT(W:W),1),OFFSET($W$4,0,0,COUNT(W:W),1))))+1</f>
        <v>28</v>
      </c>
      <c r="Z24" s="33" t="s">
        <v>278</v>
      </c>
    </row>
    <row r="25" spans="1:26" ht="15.5">
      <c r="A25" s="11">
        <f>'Data Siswa'!A23</f>
        <v>22</v>
      </c>
      <c r="B25" s="37" t="str">
        <f>'Data Siswa'!B23</f>
        <v>SITI ZAHROTUL UYUN</v>
      </c>
      <c r="C25" s="11" t="str">
        <f>'Data Siswa'!C23</f>
        <v>1118</v>
      </c>
      <c r="D25" s="22">
        <v>5</v>
      </c>
      <c r="E25" s="22">
        <v>5.5</v>
      </c>
      <c r="F25" s="22">
        <v>6</v>
      </c>
      <c r="G25" s="22">
        <v>4</v>
      </c>
      <c r="H25" s="22">
        <v>6</v>
      </c>
      <c r="I25" s="22">
        <v>5</v>
      </c>
      <c r="J25" s="22">
        <v>6</v>
      </c>
      <c r="K25" s="22">
        <v>5</v>
      </c>
      <c r="L25" s="22">
        <v>5</v>
      </c>
      <c r="M25" s="22">
        <v>5</v>
      </c>
      <c r="N25" s="22">
        <v>5</v>
      </c>
      <c r="O25" s="22">
        <v>7</v>
      </c>
      <c r="P25" s="22">
        <v>6</v>
      </c>
      <c r="Q25" s="22">
        <v>6.5</v>
      </c>
      <c r="R25" s="22">
        <v>7</v>
      </c>
      <c r="S25" s="22">
        <v>7</v>
      </c>
      <c r="T25" s="29">
        <f t="shared" si="0"/>
        <v>91</v>
      </c>
      <c r="U25" s="30">
        <f t="shared" si="1"/>
        <v>5.6875</v>
      </c>
      <c r="V25" s="31"/>
      <c r="W25" s="29">
        <f>SUM('Nilai Tahriri'!AG23,'Nilai Syafahi'!T25)</f>
        <v>255</v>
      </c>
      <c r="X25" s="29">
        <f>AVERAGE(D25:S25,'Nilai Tahriri'!D23:AF23)</f>
        <v>6.0714285714285712</v>
      </c>
      <c r="Y25" s="32">
        <f t="array" aca="1" ref="Y25" ca="1">SUM(IF(W25&lt;OFFSET($W$4,0,0,COUNT(W:W),1),1/COUNTIF(OFFSET($W$4,0,0,COUNT(W:W),1),OFFSET($W$4,0,0,COUNT(W:W),1))))+1</f>
        <v>11</v>
      </c>
      <c r="Z25" s="33" t="s">
        <v>278</v>
      </c>
    </row>
    <row r="26" spans="1:26" ht="15.5">
      <c r="A26" s="11">
        <f>'Data Siswa'!A24</f>
        <v>23</v>
      </c>
      <c r="B26" s="37" t="str">
        <f>'Data Siswa'!B24</f>
        <v>SOFWA SALSABILA</v>
      </c>
      <c r="C26" s="11" t="str">
        <f>'Data Siswa'!C24</f>
        <v>1119</v>
      </c>
      <c r="D26" s="22">
        <v>6.5</v>
      </c>
      <c r="E26" s="22">
        <v>6.5</v>
      </c>
      <c r="F26" s="22">
        <v>7</v>
      </c>
      <c r="G26" s="22">
        <v>7.5</v>
      </c>
      <c r="H26" s="22">
        <v>6.5</v>
      </c>
      <c r="I26" s="22">
        <v>6</v>
      </c>
      <c r="J26" s="22">
        <v>8</v>
      </c>
      <c r="K26" s="22">
        <v>7</v>
      </c>
      <c r="L26" s="22">
        <v>7</v>
      </c>
      <c r="M26" s="22">
        <v>8</v>
      </c>
      <c r="N26" s="22">
        <v>7</v>
      </c>
      <c r="O26" s="22">
        <v>7</v>
      </c>
      <c r="P26" s="22">
        <v>7.5</v>
      </c>
      <c r="Q26" s="22">
        <v>7</v>
      </c>
      <c r="R26" s="22">
        <v>7</v>
      </c>
      <c r="S26" s="22">
        <v>7</v>
      </c>
      <c r="T26" s="29">
        <f t="shared" si="0"/>
        <v>112.5</v>
      </c>
      <c r="U26" s="30">
        <f t="shared" si="1"/>
        <v>7.03125</v>
      </c>
      <c r="V26" s="31"/>
      <c r="W26" s="29">
        <f>SUM('Nilai Tahriri'!AG24,'Nilai Syafahi'!T26)</f>
        <v>290.39999999999998</v>
      </c>
      <c r="X26" s="29">
        <f>AVERAGE(D26:S26,'Nilai Tahriri'!D24:AF24)</f>
        <v>6.9142857142857137</v>
      </c>
      <c r="Y26" s="32">
        <f t="array" aca="1" ref="Y26" ca="1">SUM(IF(W26&lt;OFFSET($W$4,0,0,COUNT(W:W),1),1/COUNTIF(OFFSET($W$4,0,0,COUNT(W:W),1),OFFSET($W$4,0,0,COUNT(W:W),1))))+1</f>
        <v>3</v>
      </c>
      <c r="Z26" s="33" t="s">
        <v>278</v>
      </c>
    </row>
    <row r="27" spans="1:26" ht="15.5">
      <c r="A27" s="11">
        <f>'Data Siswa'!A25</f>
        <v>24</v>
      </c>
      <c r="B27" s="37" t="str">
        <f>'Data Siswa'!B25</f>
        <v>SULISTIA NINGSIH</v>
      </c>
      <c r="C27" s="11" t="str">
        <f>'Data Siswa'!C25</f>
        <v>1120</v>
      </c>
      <c r="D27" s="22">
        <v>4.5</v>
      </c>
      <c r="E27" s="22">
        <v>4</v>
      </c>
      <c r="F27" s="22">
        <v>4.5</v>
      </c>
      <c r="G27" s="22">
        <v>4.5</v>
      </c>
      <c r="H27" s="22">
        <v>5</v>
      </c>
      <c r="I27" s="22">
        <v>4.5</v>
      </c>
      <c r="J27" s="22">
        <v>6</v>
      </c>
      <c r="K27" s="22">
        <v>5</v>
      </c>
      <c r="L27" s="22">
        <v>5</v>
      </c>
      <c r="M27" s="22">
        <v>5</v>
      </c>
      <c r="N27" s="22">
        <v>5</v>
      </c>
      <c r="O27" s="22">
        <v>7</v>
      </c>
      <c r="P27" s="22">
        <v>7.5</v>
      </c>
      <c r="Q27" s="22">
        <v>7</v>
      </c>
      <c r="R27" s="22">
        <v>7</v>
      </c>
      <c r="S27" s="22">
        <v>7</v>
      </c>
      <c r="T27" s="29">
        <f t="shared" si="0"/>
        <v>88.5</v>
      </c>
      <c r="U27" s="30">
        <f t="shared" si="1"/>
        <v>5.53125</v>
      </c>
      <c r="V27" s="31"/>
      <c r="W27" s="29">
        <f>SUM('Nilai Tahriri'!AG25,'Nilai Syafahi'!T27)</f>
        <v>240.4</v>
      </c>
      <c r="X27" s="29">
        <f>AVERAGE(D27:S27,'Nilai Tahriri'!D25:AF25)</f>
        <v>5.7238095238095239</v>
      </c>
      <c r="Y27" s="32">
        <f t="array" aca="1" ref="Y27" ca="1">SUM(IF(W27&lt;OFFSET($W$4,0,0,COUNT(W:W),1),1/COUNTIF(OFFSET($W$4,0,0,COUNT(W:W),1),OFFSET($W$4,0,0,COUNT(W:W),1))))+1</f>
        <v>20</v>
      </c>
      <c r="Z27" s="33" t="s">
        <v>278</v>
      </c>
    </row>
    <row r="28" spans="1:26" ht="15.5">
      <c r="A28" s="11">
        <f>'Data Siswa'!A26</f>
        <v>25</v>
      </c>
      <c r="B28" s="37" t="str">
        <f>'Data Siswa'!B26</f>
        <v>VERA FEBRIANTI</v>
      </c>
      <c r="C28" s="11" t="str">
        <f>'Data Siswa'!C26</f>
        <v>1121</v>
      </c>
      <c r="D28" s="22">
        <v>5</v>
      </c>
      <c r="E28" s="22">
        <v>5</v>
      </c>
      <c r="F28" s="22">
        <v>4.5</v>
      </c>
      <c r="G28" s="22">
        <v>4</v>
      </c>
      <c r="H28" s="22">
        <v>4.5</v>
      </c>
      <c r="I28" s="22">
        <v>5</v>
      </c>
      <c r="J28" s="22">
        <v>6</v>
      </c>
      <c r="K28" s="22">
        <v>5</v>
      </c>
      <c r="L28" s="22">
        <v>5</v>
      </c>
      <c r="M28" s="22">
        <v>5</v>
      </c>
      <c r="N28" s="22">
        <v>5</v>
      </c>
      <c r="O28" s="22">
        <v>5</v>
      </c>
      <c r="P28" s="22">
        <v>5</v>
      </c>
      <c r="Q28" s="22">
        <v>6</v>
      </c>
      <c r="R28" s="22">
        <v>6.5</v>
      </c>
      <c r="S28" s="22">
        <v>6</v>
      </c>
      <c r="T28" s="29">
        <f t="shared" si="0"/>
        <v>82.5</v>
      </c>
      <c r="U28" s="30">
        <f t="shared" si="1"/>
        <v>5.15625</v>
      </c>
      <c r="V28" s="31"/>
      <c r="W28" s="29">
        <f>SUM('Nilai Tahriri'!AG26,'Nilai Syafahi'!T28)</f>
        <v>243.5</v>
      </c>
      <c r="X28" s="29">
        <f>AVERAGE(D28:S28,'Nilai Tahriri'!D26:AF26)</f>
        <v>5.7976190476190474</v>
      </c>
      <c r="Y28" s="32">
        <f t="array" aca="1" ref="Y28" ca="1">SUM(IF(W28&lt;OFFSET($W$4,0,0,COUNT(W:W),1),1/COUNTIF(OFFSET($W$4,0,0,COUNT(W:W),1),OFFSET($W$4,0,0,COUNT(W:W),1))))+1</f>
        <v>15</v>
      </c>
      <c r="Z28" s="33" t="s">
        <v>278</v>
      </c>
    </row>
    <row r="29" spans="1:26" ht="15.5">
      <c r="A29" s="11">
        <f>'Data Siswa'!A27</f>
        <v>26</v>
      </c>
      <c r="B29" s="37" t="str">
        <f>'Data Siswa'!B27</f>
        <v>VIVI AULIA</v>
      </c>
      <c r="C29" s="11" t="str">
        <f>'Data Siswa'!C27</f>
        <v>1122</v>
      </c>
      <c r="D29" s="22">
        <v>6</v>
      </c>
      <c r="E29" s="22">
        <v>7</v>
      </c>
      <c r="F29" s="22">
        <v>7</v>
      </c>
      <c r="G29" s="22">
        <v>6.5</v>
      </c>
      <c r="H29" s="22">
        <v>7.5</v>
      </c>
      <c r="I29" s="22">
        <v>6</v>
      </c>
      <c r="J29" s="22">
        <v>6</v>
      </c>
      <c r="K29" s="22">
        <v>6</v>
      </c>
      <c r="L29" s="22">
        <v>6</v>
      </c>
      <c r="M29" s="22">
        <v>6</v>
      </c>
      <c r="N29" s="22">
        <v>6</v>
      </c>
      <c r="O29" s="22">
        <v>7</v>
      </c>
      <c r="P29" s="22">
        <v>7.5</v>
      </c>
      <c r="Q29" s="22">
        <v>7</v>
      </c>
      <c r="R29" s="22">
        <v>7</v>
      </c>
      <c r="S29" s="22">
        <v>7</v>
      </c>
      <c r="T29" s="29">
        <f t="shared" si="0"/>
        <v>105.5</v>
      </c>
      <c r="U29" s="30">
        <f t="shared" si="1"/>
        <v>6.59375</v>
      </c>
      <c r="V29" s="31"/>
      <c r="W29" s="29">
        <f>SUM('Nilai Tahriri'!AG27,'Nilai Syafahi'!T29)</f>
        <v>293.3</v>
      </c>
      <c r="X29" s="29">
        <f>AVERAGE(D29:S29,'Nilai Tahriri'!D27:AF27)</f>
        <v>6.9833333333333334</v>
      </c>
      <c r="Y29" s="32">
        <f t="array" aca="1" ref="Y29" ca="1">SUM(IF(W29&lt;OFFSET($W$4,0,0,COUNT(W:W),1),1/COUNTIF(OFFSET($W$4,0,0,COUNT(W:W),1),OFFSET($W$4,0,0,COUNT(W:W),1))))+1</f>
        <v>2</v>
      </c>
      <c r="Z29" s="33" t="s">
        <v>278</v>
      </c>
    </row>
    <row r="30" spans="1:26" ht="15.5">
      <c r="A30" s="11">
        <f>'Data Siswa'!A28</f>
        <v>27</v>
      </c>
      <c r="B30" s="37" t="str">
        <f>'Data Siswa'!B28</f>
        <v>ZAHRA CITRA AGUSTIN</v>
      </c>
      <c r="C30" s="11" t="str">
        <f>'Data Siswa'!C28</f>
        <v>1123</v>
      </c>
      <c r="D30" s="22">
        <v>6</v>
      </c>
      <c r="E30" s="22">
        <v>7</v>
      </c>
      <c r="F30" s="22">
        <v>7</v>
      </c>
      <c r="G30" s="22">
        <v>6.5</v>
      </c>
      <c r="H30" s="22">
        <v>7.5</v>
      </c>
      <c r="I30" s="22">
        <v>6</v>
      </c>
      <c r="J30" s="22">
        <v>6</v>
      </c>
      <c r="K30" s="22">
        <v>6</v>
      </c>
      <c r="L30" s="22">
        <v>6</v>
      </c>
      <c r="M30" s="22">
        <v>6</v>
      </c>
      <c r="N30" s="22">
        <v>6</v>
      </c>
      <c r="O30" s="22">
        <v>7.5</v>
      </c>
      <c r="P30" s="22">
        <v>6</v>
      </c>
      <c r="Q30" s="22">
        <v>6</v>
      </c>
      <c r="R30" s="22">
        <v>6</v>
      </c>
      <c r="S30" s="22">
        <v>7</v>
      </c>
      <c r="T30" s="29">
        <f t="shared" si="0"/>
        <v>102.5</v>
      </c>
      <c r="U30" s="30">
        <f t="shared" si="1"/>
        <v>6.40625</v>
      </c>
      <c r="V30" s="31"/>
      <c r="W30" s="29">
        <f>SUM('Nilai Tahriri'!AG28,'Nilai Syafahi'!T30)</f>
        <v>277.10000000000002</v>
      </c>
      <c r="X30" s="29">
        <f>AVERAGE(D30:S30,'Nilai Tahriri'!D28:AF28)</f>
        <v>6.5976190476190482</v>
      </c>
      <c r="Y30" s="32">
        <f t="array" aca="1" ref="Y30" ca="1">SUM(IF(W30&lt;OFFSET($W$4,0,0,COUNT(W:W),1),1/COUNTIF(OFFSET($W$4,0,0,COUNT(W:W),1),OFFSET($W$4,0,0,COUNT(W:W),1))))+1</f>
        <v>5</v>
      </c>
      <c r="Z30" s="33" t="s">
        <v>278</v>
      </c>
    </row>
    <row r="31" spans="1:26" ht="15.5">
      <c r="A31" s="11">
        <f>'Data Siswa'!A29</f>
        <v>28</v>
      </c>
      <c r="B31" s="37" t="str">
        <f>'Data Siswa'!B29</f>
        <v>ZAHROTUL SYIFA</v>
      </c>
      <c r="C31" s="11" t="str">
        <f>'Data Siswa'!C29</f>
        <v>1124</v>
      </c>
      <c r="D31" s="22">
        <v>5</v>
      </c>
      <c r="E31" s="22">
        <v>4.5</v>
      </c>
      <c r="F31" s="22">
        <v>5</v>
      </c>
      <c r="G31" s="22">
        <v>5.5</v>
      </c>
      <c r="H31" s="22">
        <v>5.5</v>
      </c>
      <c r="I31" s="22">
        <v>6</v>
      </c>
      <c r="J31" s="22">
        <v>7</v>
      </c>
      <c r="K31" s="22">
        <v>6</v>
      </c>
      <c r="L31" s="22">
        <v>6</v>
      </c>
      <c r="M31" s="22">
        <v>7</v>
      </c>
      <c r="N31" s="22">
        <v>7</v>
      </c>
      <c r="O31" s="22">
        <v>6</v>
      </c>
      <c r="P31" s="22">
        <v>7</v>
      </c>
      <c r="Q31" s="22">
        <v>7</v>
      </c>
      <c r="R31" s="22">
        <v>6</v>
      </c>
      <c r="S31" s="22">
        <v>7</v>
      </c>
      <c r="T31" s="29">
        <f t="shared" si="0"/>
        <v>97.5</v>
      </c>
      <c r="U31" s="30">
        <f t="shared" si="1"/>
        <v>6.09375</v>
      </c>
      <c r="V31" s="31"/>
      <c r="W31" s="29">
        <f>SUM('Nilai Tahriri'!AG29,'Nilai Syafahi'!T31)</f>
        <v>270.70000000000005</v>
      </c>
      <c r="X31" s="29">
        <f>AVERAGE(D31:S31,'Nilai Tahriri'!D29:AF29)</f>
        <v>6.4452380952380963</v>
      </c>
      <c r="Y31" s="32">
        <f t="array" aca="1" ref="Y31" ca="1">SUM(IF(W31&lt;OFFSET($W$4,0,0,COUNT(W:W),1),1/COUNTIF(OFFSET($W$4,0,0,COUNT(W:W),1),OFFSET($W$4,0,0,COUNT(W:W),1))))+1</f>
        <v>7</v>
      </c>
      <c r="Z31" s="33" t="s">
        <v>278</v>
      </c>
    </row>
    <row r="32" spans="1:26" ht="15.5">
      <c r="A32" s="11">
        <f>'Data Siswa'!A30</f>
        <v>29</v>
      </c>
      <c r="B32" s="37" t="str">
        <f>'Data Siswa'!B30</f>
        <v>ZAKIA MANILOKA</v>
      </c>
      <c r="C32" s="11" t="str">
        <f>'Data Siswa'!C30</f>
        <v>1125</v>
      </c>
      <c r="D32" s="22">
        <v>7</v>
      </c>
      <c r="E32" s="22">
        <v>6.5</v>
      </c>
      <c r="F32" s="22">
        <v>7</v>
      </c>
      <c r="G32" s="22">
        <v>7.5</v>
      </c>
      <c r="H32" s="22">
        <v>7</v>
      </c>
      <c r="I32" s="22">
        <v>6</v>
      </c>
      <c r="J32" s="22">
        <v>7</v>
      </c>
      <c r="K32" s="22">
        <v>7</v>
      </c>
      <c r="L32" s="22">
        <v>7</v>
      </c>
      <c r="M32" s="22">
        <v>7</v>
      </c>
      <c r="N32" s="22">
        <v>7</v>
      </c>
      <c r="O32" s="22">
        <v>6</v>
      </c>
      <c r="P32" s="22">
        <v>6.5</v>
      </c>
      <c r="Q32" s="22">
        <v>7</v>
      </c>
      <c r="R32" s="22">
        <v>7</v>
      </c>
      <c r="S32" s="22">
        <v>7</v>
      </c>
      <c r="T32" s="29">
        <f t="shared" si="0"/>
        <v>109.5</v>
      </c>
      <c r="U32" s="30">
        <f t="shared" si="1"/>
        <v>6.84375</v>
      </c>
      <c r="V32" s="31"/>
      <c r="W32" s="29">
        <f>SUM('Nilai Tahriri'!AG30,'Nilai Syafahi'!T32)</f>
        <v>297.10000000000002</v>
      </c>
      <c r="X32" s="29">
        <f>AVERAGE(D32:S32,'Nilai Tahriri'!D30:AF30)</f>
        <v>7.0738095238095244</v>
      </c>
      <c r="Y32" s="32">
        <f t="array" aca="1" ref="Y32" ca="1">SUM(IF(W32&lt;OFFSET($W$4,0,0,COUNT(W:W),1),1/COUNTIF(OFFSET($W$4,0,0,COUNT(W:W),1),OFFSET($W$4,0,0,COUNT(W:W),1))))+1</f>
        <v>1</v>
      </c>
      <c r="Z32" s="33" t="s">
        <v>278</v>
      </c>
    </row>
    <row r="33" spans="1:26" ht="15.5">
      <c r="A33" s="11">
        <f>'Data Siswa'!A31</f>
        <v>30</v>
      </c>
      <c r="B33" s="37" t="str">
        <f>'Data Siswa'!B31</f>
        <v>ZASKIA ANANTA PAMBUDI</v>
      </c>
      <c r="C33" s="11" t="str">
        <f>'Data Siswa'!C31</f>
        <v>1126</v>
      </c>
      <c r="D33" s="22">
        <v>6</v>
      </c>
      <c r="E33" s="22">
        <v>7</v>
      </c>
      <c r="F33" s="22">
        <v>7</v>
      </c>
      <c r="G33" s="22">
        <v>6.5</v>
      </c>
      <c r="H33" s="22">
        <v>6</v>
      </c>
      <c r="I33" s="22">
        <v>5.5</v>
      </c>
      <c r="J33" s="22">
        <v>6</v>
      </c>
      <c r="K33" s="22">
        <v>5</v>
      </c>
      <c r="L33" s="22">
        <v>5</v>
      </c>
      <c r="M33" s="22">
        <v>6</v>
      </c>
      <c r="N33" s="22">
        <v>6</v>
      </c>
      <c r="O33" s="22">
        <v>6</v>
      </c>
      <c r="P33" s="22">
        <v>6</v>
      </c>
      <c r="Q33" s="22">
        <v>7</v>
      </c>
      <c r="R33" s="22">
        <v>6</v>
      </c>
      <c r="S33" s="22">
        <v>7</v>
      </c>
      <c r="T33" s="29">
        <f t="shared" si="0"/>
        <v>98</v>
      </c>
      <c r="U33" s="30">
        <f t="shared" si="1"/>
        <v>6.125</v>
      </c>
      <c r="V33" s="31"/>
      <c r="W33" s="29">
        <f>SUM('Nilai Tahriri'!AG31,'Nilai Syafahi'!T33)</f>
        <v>263.39999999999998</v>
      </c>
      <c r="X33" s="29">
        <f>AVERAGE(D33:S33,'Nilai Tahriri'!D31:AF31)</f>
        <v>6.2714285714285705</v>
      </c>
      <c r="Y33" s="32">
        <f t="array" aca="1" ref="Y33" ca="1">SUM(IF(W33&lt;OFFSET($W$4,0,0,COUNT(W:W),1),1/COUNTIF(OFFSET($W$4,0,0,COUNT(W:W),1),OFFSET($W$4,0,0,COUNT(W:W),1))))+1</f>
        <v>9</v>
      </c>
      <c r="Z33" s="33" t="s">
        <v>278</v>
      </c>
    </row>
    <row r="34" spans="1:26" ht="15.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9">
        <f t="shared" si="0"/>
        <v>0</v>
      </c>
      <c r="U34" s="30" t="e">
        <f t="shared" si="1"/>
        <v>#DIV/0!</v>
      </c>
      <c r="V34" s="31"/>
      <c r="W34" s="29">
        <f>SUM('Nilai Tahriri'!AG32,'Nilai Syafahi'!T34)</f>
        <v>0</v>
      </c>
      <c r="X34" s="29" t="e">
        <f>AVERAGE(D34:S34,'Nilai Tahriri'!D32:AF32)</f>
        <v>#DIV/0!</v>
      </c>
      <c r="Y34" s="32">
        <f t="array" aca="1" ref="Y34" ca="1">SUM(IF(W34&lt;OFFSET($W$4,0,0,COUNT(W:W),1),1/COUNTIF(OFFSET($W$4,0,0,COUNT(W:W),1),OFFSET($W$4,0,0,COUNT(W:W),1))))+1</f>
        <v>30</v>
      </c>
      <c r="Z34" s="33" t="s">
        <v>278</v>
      </c>
    </row>
    <row r="35" spans="1:26" ht="15.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9">
        <f t="shared" si="0"/>
        <v>0</v>
      </c>
      <c r="U35" s="30" t="e">
        <f t="shared" si="1"/>
        <v>#DIV/0!</v>
      </c>
      <c r="V35" s="31"/>
      <c r="W35" s="29">
        <f>SUM('Nilai Tahriri'!AG33,'Nilai Syafahi'!T35)</f>
        <v>0</v>
      </c>
      <c r="X35" s="29" t="e">
        <f>AVERAGE(D35:S35,'Nilai Tahriri'!D33:AF33)</f>
        <v>#DIV/0!</v>
      </c>
      <c r="Y35" s="32">
        <f t="array" aca="1" ref="Y35" ca="1">SUM(IF(W35&lt;OFFSET($W$4,0,0,COUNT(W:W),1),1/COUNTIF(OFFSET($W$4,0,0,COUNT(W:W),1),OFFSET($W$4,0,0,COUNT(W:W),1))))+1</f>
        <v>30</v>
      </c>
      <c r="Z35" s="33" t="s">
        <v>278</v>
      </c>
    </row>
    <row r="36" spans="1:26" ht="15.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9">
        <f t="shared" si="0"/>
        <v>0</v>
      </c>
      <c r="U36" s="30" t="e">
        <f t="shared" si="1"/>
        <v>#DIV/0!</v>
      </c>
      <c r="V36" s="31"/>
      <c r="W36" s="29">
        <f>SUM('Nilai Tahriri'!AG34,'Nilai Syafahi'!T36)</f>
        <v>0</v>
      </c>
      <c r="X36" s="29" t="e">
        <f>AVERAGE(D36:S36,'Nilai Tahriri'!D34:AF34)</f>
        <v>#DIV/0!</v>
      </c>
      <c r="Y36" s="32">
        <f t="array" aca="1" ref="Y36" ca="1">SUM(IF(W36&lt;OFFSET($W$4,0,0,COUNT(W:W),1),1/COUNTIF(OFFSET($W$4,0,0,COUNT(W:W),1),OFFSET($W$4,0,0,COUNT(W:W),1))))+1</f>
        <v>30</v>
      </c>
      <c r="Z36" s="33" t="s">
        <v>278</v>
      </c>
    </row>
    <row r="37" spans="1:26" ht="15.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9">
        <f t="shared" si="0"/>
        <v>0</v>
      </c>
      <c r="U37" s="30" t="e">
        <f t="shared" si="1"/>
        <v>#DIV/0!</v>
      </c>
      <c r="V37" s="31"/>
      <c r="W37" s="29">
        <f>SUM('Nilai Tahriri'!AG35,'Nilai Syafahi'!T37)</f>
        <v>0</v>
      </c>
      <c r="X37" s="29" t="e">
        <f>AVERAGE(D37:S37,'Nilai Tahriri'!D35:AF35)</f>
        <v>#DIV/0!</v>
      </c>
      <c r="Y37" s="32">
        <f t="array" aca="1" ref="Y37" ca="1">SUM(IF(W37&lt;OFFSET($W$4,0,0,COUNT(W:W),1),1/COUNTIF(OFFSET($W$4,0,0,COUNT(W:W),1),OFFSET($W$4,0,0,COUNT(W:W),1))))+1</f>
        <v>30</v>
      </c>
      <c r="Z37" s="33" t="s">
        <v>278</v>
      </c>
    </row>
    <row r="38" spans="1:26" ht="15.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9">
        <f t="shared" si="0"/>
        <v>0</v>
      </c>
      <c r="U38" s="30" t="e">
        <f t="shared" si="1"/>
        <v>#DIV/0!</v>
      </c>
      <c r="V38" s="31"/>
      <c r="W38" s="29">
        <f>SUM('Nilai Tahriri'!AG36,'Nilai Syafahi'!T38)</f>
        <v>0</v>
      </c>
      <c r="X38" s="29" t="e">
        <f>AVERAGE(D38:S38,'Nilai Tahriri'!D36:AF36)</f>
        <v>#DIV/0!</v>
      </c>
      <c r="Y38" s="32">
        <f t="array" aca="1" ref="Y38" ca="1">SUM(IF(W38&lt;OFFSET($W$4,0,0,COUNT(W:W),1),1/COUNTIF(OFFSET($W$4,0,0,COUNT(W:W),1),OFFSET($W$4,0,0,COUNT(W:W),1))))+1</f>
        <v>30</v>
      </c>
      <c r="Z38" s="33" t="s">
        <v>278</v>
      </c>
    </row>
    <row r="39" spans="1:26" ht="15.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9">
        <f t="shared" si="0"/>
        <v>0</v>
      </c>
      <c r="U39" s="30" t="e">
        <f t="shared" si="1"/>
        <v>#DIV/0!</v>
      </c>
      <c r="V39" s="31"/>
      <c r="W39" s="29">
        <f>SUM('Nilai Tahriri'!AG37,'Nilai Syafahi'!T39)</f>
        <v>0</v>
      </c>
      <c r="X39" s="29" t="e">
        <f>AVERAGE(D39:S39,'Nilai Tahriri'!D37:AF37)</f>
        <v>#DIV/0!</v>
      </c>
      <c r="Y39" s="32">
        <f t="array" aca="1" ref="Y39" ca="1">SUM(IF(W39&lt;OFFSET($W$4,0,0,COUNT(W:W),1),1/COUNTIF(OFFSET($W$4,0,0,COUNT(W:W),1),OFFSET($W$4,0,0,COUNT(W:W),1))))+1</f>
        <v>30</v>
      </c>
      <c r="Z39" s="33" t="s">
        <v>278</v>
      </c>
    </row>
    <row r="40" spans="1:26" ht="15.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9">
        <f t="shared" si="0"/>
        <v>0</v>
      </c>
      <c r="U40" s="30" t="e">
        <f t="shared" si="1"/>
        <v>#DIV/0!</v>
      </c>
      <c r="V40" s="31"/>
      <c r="W40" s="29">
        <f>SUM('Nilai Tahriri'!AG38,'Nilai Syafahi'!T40)</f>
        <v>0</v>
      </c>
      <c r="X40" s="29" t="e">
        <f>AVERAGE(D40:S40,'Nilai Tahriri'!D38:AF38)</f>
        <v>#DIV/0!</v>
      </c>
      <c r="Y40" s="32">
        <f t="array" aca="1" ref="Y40" ca="1">SUM(IF(W40&lt;OFFSET($W$4,0,0,COUNT(W:W),1),1/COUNTIF(OFFSET($W$4,0,0,COUNT(W:W),1),OFFSET($W$4,0,0,COUNT(W:W),1))))+1</f>
        <v>30</v>
      </c>
      <c r="Z40" s="33" t="s">
        <v>278</v>
      </c>
    </row>
    <row r="41" spans="1:26" ht="15.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9">
        <f t="shared" si="0"/>
        <v>0</v>
      </c>
      <c r="U41" s="30" t="e">
        <f t="shared" si="1"/>
        <v>#DIV/0!</v>
      </c>
      <c r="V41" s="31"/>
      <c r="W41" s="29">
        <f>SUM('Nilai Tahriri'!AG39,'Nilai Syafahi'!T41)</f>
        <v>0</v>
      </c>
      <c r="X41" s="29" t="e">
        <f>AVERAGE(D41:S41,'Nilai Tahriri'!D39:AF39)</f>
        <v>#DIV/0!</v>
      </c>
      <c r="Y41" s="32">
        <f t="array" aca="1" ref="Y41" ca="1">SUM(IF(W41&lt;OFFSET($W$4,0,0,COUNT(W:W),1),1/COUNTIF(OFFSET($W$4,0,0,COUNT(W:W),1),OFFSET($W$4,0,0,COUNT(W:W),1))))+1</f>
        <v>30</v>
      </c>
      <c r="Z41" s="33" t="s">
        <v>278</v>
      </c>
    </row>
    <row r="42" spans="1:26" ht="15.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9">
        <f t="shared" si="0"/>
        <v>0</v>
      </c>
      <c r="U42" s="30" t="e">
        <f t="shared" si="1"/>
        <v>#DIV/0!</v>
      </c>
      <c r="V42" s="31"/>
      <c r="W42" s="29">
        <f>SUM('Nilai Tahriri'!AG40,'Nilai Syafahi'!T42)</f>
        <v>0</v>
      </c>
      <c r="X42" s="29" t="e">
        <f>AVERAGE(D42:S42,'Nilai Tahriri'!D40:AF40)</f>
        <v>#DIV/0!</v>
      </c>
      <c r="Y42" s="32">
        <f t="array" aca="1" ref="Y42" ca="1">SUM(IF(W42&lt;OFFSET($W$4,0,0,COUNT(W:W),1),1/COUNTIF(OFFSET($W$4,0,0,COUNT(W:W),1),OFFSET($W$4,0,0,COUNT(W:W),1))))+1</f>
        <v>30</v>
      </c>
      <c r="Z42" s="33" t="s">
        <v>278</v>
      </c>
    </row>
    <row r="43" spans="1:26" ht="15.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>
        <f t="shared" si="0"/>
        <v>0</v>
      </c>
      <c r="U43" s="30" t="e">
        <f t="shared" si="1"/>
        <v>#DIV/0!</v>
      </c>
      <c r="V43" s="34"/>
      <c r="W43" s="29">
        <f>SUM('Nilai Tahriri'!AG41,'Nilai Syafahi'!T43)</f>
        <v>0</v>
      </c>
      <c r="X43" s="29" t="e">
        <f>AVERAGE(D43:S43,'Nilai Tahriri'!D41:AF41)</f>
        <v>#DIV/0!</v>
      </c>
      <c r="Y43" s="32">
        <f t="array" aca="1" ref="Y43" ca="1">SUM(IF(W43&lt;OFFSET($W$4,0,0,COUNT(W:W),1),1/COUNTIF(OFFSET($W$4,0,0,COUNT(W:W),1),OFFSET($W$4,0,0,COUNT(W:W),1))))+1</f>
        <v>30</v>
      </c>
      <c r="Z43" s="33" t="s">
        <v>278</v>
      </c>
    </row>
    <row r="44" spans="1:26">
      <c r="U44"/>
      <c r="Z44"/>
    </row>
  </sheetData>
  <sheetProtection sheet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:J43"/>
    </sheetView>
  </sheetViews>
  <sheetFormatPr defaultColWidth="10" defaultRowHeight="14.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>
      <c r="A1" s="162" t="s">
        <v>173</v>
      </c>
      <c r="B1" s="162"/>
      <c r="C1" s="162"/>
      <c r="D1" s="161" t="s">
        <v>88</v>
      </c>
      <c r="E1" s="161"/>
      <c r="F1" s="161"/>
      <c r="G1" s="161"/>
      <c r="H1" s="161"/>
      <c r="I1" s="161"/>
      <c r="J1" s="35"/>
    </row>
    <row r="2" spans="1:10" ht="14.5" customHeight="1">
      <c r="A2" s="152" t="s">
        <v>73</v>
      </c>
      <c r="B2" s="142" t="s">
        <v>53</v>
      </c>
      <c r="C2" s="152" t="s">
        <v>52</v>
      </c>
      <c r="D2" s="164" t="s">
        <v>29</v>
      </c>
      <c r="E2" s="164"/>
      <c r="F2" s="164"/>
      <c r="G2" s="163" t="s">
        <v>81</v>
      </c>
      <c r="H2" s="163"/>
      <c r="I2" s="163"/>
      <c r="J2" s="33" t="s">
        <v>175</v>
      </c>
    </row>
    <row r="3" spans="1:10" ht="53.15" customHeight="1">
      <c r="A3" s="152"/>
      <c r="B3" s="142"/>
      <c r="C3" s="152"/>
      <c r="D3" s="27" t="s">
        <v>32</v>
      </c>
      <c r="E3" s="27" t="s">
        <v>90</v>
      </c>
      <c r="F3" s="27" t="s">
        <v>30</v>
      </c>
      <c r="G3" s="27" t="s">
        <v>93</v>
      </c>
      <c r="H3" s="27" t="s">
        <v>91</v>
      </c>
      <c r="I3" s="27" t="s">
        <v>92</v>
      </c>
      <c r="J3" s="36" t="s">
        <v>43</v>
      </c>
    </row>
    <row r="4" spans="1:10" ht="15.5">
      <c r="A4" s="11">
        <f>'Data Siswa'!A2</f>
        <v>1</v>
      </c>
      <c r="B4" s="37" t="str">
        <f>'Data Siswa'!B2</f>
        <v>ALIFA RIZKIYAH</v>
      </c>
      <c r="C4" s="11" t="str">
        <f>'Data Siswa'!C2</f>
        <v>1097</v>
      </c>
      <c r="D4" s="38">
        <v>8</v>
      </c>
      <c r="E4" s="38">
        <v>8</v>
      </c>
      <c r="F4" s="38">
        <v>8</v>
      </c>
      <c r="G4" s="38"/>
      <c r="H4" s="38"/>
      <c r="I4" s="38"/>
      <c r="J4" s="12" t="s">
        <v>94</v>
      </c>
    </row>
    <row r="5" spans="1:10" ht="15.5">
      <c r="A5" s="11">
        <f>'Data Siswa'!A3</f>
        <v>2</v>
      </c>
      <c r="B5" s="40" t="str">
        <f>'Data Siswa'!B3</f>
        <v xml:space="preserve">ASSYIFA RAHMAWATI  </v>
      </c>
      <c r="C5" s="11" t="str">
        <f>'Data Siswa'!C3</f>
        <v>1098</v>
      </c>
      <c r="D5" s="38">
        <v>8</v>
      </c>
      <c r="E5" s="38">
        <v>8</v>
      </c>
      <c r="F5" s="38">
        <v>8</v>
      </c>
      <c r="G5" s="38"/>
      <c r="H5" s="38"/>
      <c r="I5" s="38"/>
      <c r="J5" s="12" t="s">
        <v>94</v>
      </c>
    </row>
    <row r="6" spans="1:10" ht="15.5">
      <c r="A6" s="11">
        <f>'Data Siswa'!A4</f>
        <v>3</v>
      </c>
      <c r="B6" s="37" t="str">
        <f>'Data Siswa'!B4</f>
        <v>ATHIRA PUTRI TAZKIAH</v>
      </c>
      <c r="C6" s="11" t="str">
        <f>'Data Siswa'!C4</f>
        <v>1099</v>
      </c>
      <c r="D6" s="38">
        <v>8</v>
      </c>
      <c r="E6" s="38">
        <v>8</v>
      </c>
      <c r="F6" s="38">
        <v>8</v>
      </c>
      <c r="G6" s="38"/>
      <c r="H6" s="38"/>
      <c r="I6" s="38"/>
      <c r="J6" s="12" t="s">
        <v>94</v>
      </c>
    </row>
    <row r="7" spans="1:10" ht="15.5">
      <c r="A7" s="11">
        <f>'Data Siswa'!A5</f>
        <v>4</v>
      </c>
      <c r="B7" s="37" t="str">
        <f>'Data Siswa'!B5</f>
        <v>AYU FITRI RAMADHANI</v>
      </c>
      <c r="C7" s="11" t="str">
        <f>'Data Siswa'!C5</f>
        <v>1100</v>
      </c>
      <c r="D7" s="38">
        <v>8</v>
      </c>
      <c r="E7" s="38">
        <v>8</v>
      </c>
      <c r="F7" s="38">
        <v>8</v>
      </c>
      <c r="G7" s="38"/>
      <c r="H7" s="38"/>
      <c r="I7" s="38"/>
      <c r="J7" s="12" t="s">
        <v>94</v>
      </c>
    </row>
    <row r="8" spans="1:10" ht="15.5">
      <c r="A8" s="11">
        <f>'Data Siswa'!A6</f>
        <v>5</v>
      </c>
      <c r="B8" s="37" t="str">
        <f>'Data Siswa'!B6</f>
        <v>BUNGA AULIA</v>
      </c>
      <c r="C8" s="11" t="str">
        <f>'Data Siswa'!C6</f>
        <v>1101</v>
      </c>
      <c r="D8" s="38">
        <v>8</v>
      </c>
      <c r="E8" s="38">
        <v>8</v>
      </c>
      <c r="F8" s="38">
        <v>8</v>
      </c>
      <c r="G8" s="38"/>
      <c r="H8" s="38"/>
      <c r="I8" s="38"/>
      <c r="J8" s="12" t="s">
        <v>94</v>
      </c>
    </row>
    <row r="9" spans="1:10" ht="15.5">
      <c r="A9" s="11">
        <f>'Data Siswa'!A7</f>
        <v>6</v>
      </c>
      <c r="B9" s="37" t="str">
        <f>'Data Siswa'!B7</f>
        <v>DINA LAURA</v>
      </c>
      <c r="C9" s="11" t="str">
        <f>'Data Siswa'!C7</f>
        <v>1102</v>
      </c>
      <c r="D9" s="38">
        <v>8</v>
      </c>
      <c r="E9" s="38">
        <v>8</v>
      </c>
      <c r="F9" s="38">
        <v>8</v>
      </c>
      <c r="G9" s="38"/>
      <c r="H9" s="38"/>
      <c r="I9" s="38"/>
      <c r="J9" s="12" t="s">
        <v>94</v>
      </c>
    </row>
    <row r="10" spans="1:10" ht="15.5">
      <c r="A10" s="11">
        <f>'Data Siswa'!A8</f>
        <v>7</v>
      </c>
      <c r="B10" s="37" t="str">
        <f>'Data Siswa'!B8</f>
        <v>EVI OKTAVIANI</v>
      </c>
      <c r="C10" s="11" t="str">
        <f>'Data Siswa'!C8</f>
        <v>1103</v>
      </c>
      <c r="D10" s="38">
        <v>8</v>
      </c>
      <c r="E10" s="38">
        <v>8</v>
      </c>
      <c r="F10" s="38">
        <v>8</v>
      </c>
      <c r="G10" s="38"/>
      <c r="H10" s="38"/>
      <c r="I10" s="38"/>
      <c r="J10" s="12" t="s">
        <v>94</v>
      </c>
    </row>
    <row r="11" spans="1:10" ht="15.5">
      <c r="A11" s="11">
        <f>'Data Siswa'!A9</f>
        <v>8</v>
      </c>
      <c r="B11" s="37" t="str">
        <f>'Data Siswa'!B9</f>
        <v>INDAH MAELANI</v>
      </c>
      <c r="C11" s="11" t="str">
        <f>'Data Siswa'!C9</f>
        <v>1104</v>
      </c>
      <c r="D11" s="38">
        <v>8</v>
      </c>
      <c r="E11" s="38">
        <v>8</v>
      </c>
      <c r="F11" s="38">
        <v>8</v>
      </c>
      <c r="G11" s="38"/>
      <c r="H11" s="38"/>
      <c r="I11" s="38"/>
      <c r="J11" s="12" t="s">
        <v>94</v>
      </c>
    </row>
    <row r="12" spans="1:10" ht="15.5">
      <c r="A12" s="11">
        <f>'Data Siswa'!A10</f>
        <v>9</v>
      </c>
      <c r="B12" s="37" t="str">
        <f>'Data Siswa'!B10</f>
        <v>MAR'AH AINUN NABILAH</v>
      </c>
      <c r="C12" s="11" t="str">
        <f>'Data Siswa'!C10</f>
        <v>1105</v>
      </c>
      <c r="D12" s="38">
        <v>8</v>
      </c>
      <c r="E12" s="38">
        <v>8</v>
      </c>
      <c r="F12" s="38">
        <v>8</v>
      </c>
      <c r="G12" s="38"/>
      <c r="H12" s="38"/>
      <c r="I12" s="38"/>
      <c r="J12" s="12" t="s">
        <v>94</v>
      </c>
    </row>
    <row r="13" spans="1:10" ht="15.5">
      <c r="A13" s="11">
        <f>'Data Siswa'!A11</f>
        <v>10</v>
      </c>
      <c r="B13" s="37" t="str">
        <f>'Data Siswa'!B11</f>
        <v>MUTIARA INDAH PRATIWI</v>
      </c>
      <c r="C13" s="11" t="str">
        <f>'Data Siswa'!C11</f>
        <v>1106</v>
      </c>
      <c r="D13" s="38">
        <v>8</v>
      </c>
      <c r="E13" s="38">
        <v>8</v>
      </c>
      <c r="F13" s="38">
        <v>8</v>
      </c>
      <c r="G13" s="38"/>
      <c r="H13" s="38"/>
      <c r="I13" s="38"/>
      <c r="J13" s="12" t="s">
        <v>94</v>
      </c>
    </row>
    <row r="14" spans="1:10" ht="15.5">
      <c r="A14" s="11">
        <f>'Data Siswa'!A12</f>
        <v>11</v>
      </c>
      <c r="B14" s="37" t="str">
        <f>'Data Siswa'!B12</f>
        <v>NAILA RIZKI ARABELA</v>
      </c>
      <c r="C14" s="11" t="str">
        <f>'Data Siswa'!C12</f>
        <v>1107</v>
      </c>
      <c r="D14" s="38">
        <v>8</v>
      </c>
      <c r="E14" s="38">
        <v>8</v>
      </c>
      <c r="F14" s="38">
        <v>8</v>
      </c>
      <c r="G14" s="38"/>
      <c r="H14" s="38"/>
      <c r="I14" s="38"/>
      <c r="J14" s="12" t="s">
        <v>94</v>
      </c>
    </row>
    <row r="15" spans="1:10" ht="15.5">
      <c r="A15" s="11">
        <f>'Data Siswa'!A13</f>
        <v>12</v>
      </c>
      <c r="B15" s="37" t="str">
        <f>'Data Siswa'!B13</f>
        <v>NAILA SEPTIANI</v>
      </c>
      <c r="C15" s="11" t="str">
        <f>'Data Siswa'!C13</f>
        <v>1108</v>
      </c>
      <c r="D15" s="38">
        <v>8</v>
      </c>
      <c r="E15" s="38">
        <v>8</v>
      </c>
      <c r="F15" s="38">
        <v>8</v>
      </c>
      <c r="G15" s="38"/>
      <c r="H15" s="38"/>
      <c r="I15" s="38"/>
      <c r="J15" s="12" t="s">
        <v>94</v>
      </c>
    </row>
    <row r="16" spans="1:10" ht="15.5">
      <c r="A16" s="11">
        <f>'Data Siswa'!A14</f>
        <v>13</v>
      </c>
      <c r="B16" s="37" t="str">
        <f>'Data Siswa'!B14</f>
        <v>NURUL ANNISA HARAHAP</v>
      </c>
      <c r="C16" s="11" t="str">
        <f>'Data Siswa'!C14</f>
        <v>1109</v>
      </c>
      <c r="D16" s="38">
        <v>8</v>
      </c>
      <c r="E16" s="38">
        <v>8</v>
      </c>
      <c r="F16" s="38">
        <v>8</v>
      </c>
      <c r="G16" s="38"/>
      <c r="H16" s="38"/>
      <c r="I16" s="38"/>
      <c r="J16" s="12" t="s">
        <v>94</v>
      </c>
    </row>
    <row r="17" spans="1:10" ht="15.5">
      <c r="A17" s="11">
        <f>'Data Siswa'!A15</f>
        <v>14</v>
      </c>
      <c r="B17" s="37" t="str">
        <f>'Data Siswa'!B15</f>
        <v>RATU NUR ERISYA RADESTA</v>
      </c>
      <c r="C17" s="11" t="str">
        <f>'Data Siswa'!C15</f>
        <v>1110</v>
      </c>
      <c r="D17" s="38">
        <v>8</v>
      </c>
      <c r="E17" s="38">
        <v>8</v>
      </c>
      <c r="F17" s="38">
        <v>8</v>
      </c>
      <c r="G17" s="38"/>
      <c r="H17" s="38"/>
      <c r="I17" s="38"/>
      <c r="J17" s="12" t="s">
        <v>94</v>
      </c>
    </row>
    <row r="18" spans="1:10" ht="15.5">
      <c r="A18" s="11">
        <f>'Data Siswa'!A16</f>
        <v>15</v>
      </c>
      <c r="B18" s="37" t="str">
        <f>'Data Siswa'!B16</f>
        <v>RISMA YANTI MAESARAH</v>
      </c>
      <c r="C18" s="11" t="str">
        <f>'Data Siswa'!C16</f>
        <v>1111</v>
      </c>
      <c r="D18" s="38">
        <v>8</v>
      </c>
      <c r="E18" s="38">
        <v>8</v>
      </c>
      <c r="F18" s="38">
        <v>8</v>
      </c>
      <c r="G18" s="38"/>
      <c r="H18" s="38"/>
      <c r="I18" s="38"/>
      <c r="J18" s="12" t="s">
        <v>94</v>
      </c>
    </row>
    <row r="19" spans="1:10" ht="15.5">
      <c r="A19" s="11">
        <f>'Data Siswa'!A17</f>
        <v>16</v>
      </c>
      <c r="B19" s="37" t="str">
        <f>'Data Siswa'!B17</f>
        <v>RIZKA KAMILATUL ULYA</v>
      </c>
      <c r="C19" s="11" t="str">
        <f>'Data Siswa'!C17</f>
        <v>1112</v>
      </c>
      <c r="D19" s="38">
        <v>8</v>
      </c>
      <c r="E19" s="38">
        <v>8</v>
      </c>
      <c r="F19" s="38">
        <v>8</v>
      </c>
      <c r="G19" s="38"/>
      <c r="H19" s="38"/>
      <c r="I19" s="38"/>
      <c r="J19" s="12" t="s">
        <v>94</v>
      </c>
    </row>
    <row r="20" spans="1:10" ht="15.5">
      <c r="A20" s="11">
        <f>'Data Siswa'!A18</f>
        <v>17</v>
      </c>
      <c r="B20" s="37" t="str">
        <f>'Data Siswa'!B18</f>
        <v>RONA IMRONA</v>
      </c>
      <c r="C20" s="11" t="str">
        <f>'Data Siswa'!C18</f>
        <v>1113</v>
      </c>
      <c r="D20" s="38">
        <v>8</v>
      </c>
      <c r="E20" s="38">
        <v>8</v>
      </c>
      <c r="F20" s="38">
        <v>8</v>
      </c>
      <c r="G20" s="38"/>
      <c r="H20" s="38"/>
      <c r="I20" s="38"/>
      <c r="J20" s="12" t="s">
        <v>94</v>
      </c>
    </row>
    <row r="21" spans="1:10" ht="15.5">
      <c r="A21" s="11">
        <f>'Data Siswa'!A19</f>
        <v>18</v>
      </c>
      <c r="B21" s="37" t="str">
        <f>'Data Siswa'!B19</f>
        <v>RUFAIDAH AZZAHRA</v>
      </c>
      <c r="C21" s="11" t="str">
        <f>'Data Siswa'!C19</f>
        <v>1114</v>
      </c>
      <c r="D21" s="38">
        <v>8</v>
      </c>
      <c r="E21" s="38">
        <v>8</v>
      </c>
      <c r="F21" s="38">
        <v>8</v>
      </c>
      <c r="G21" s="38"/>
      <c r="H21" s="38"/>
      <c r="I21" s="38"/>
      <c r="J21" s="12" t="s">
        <v>94</v>
      </c>
    </row>
    <row r="22" spans="1:10" ht="15.5">
      <c r="A22" s="11">
        <f>'Data Siswa'!A20</f>
        <v>19</v>
      </c>
      <c r="B22" s="37" t="str">
        <f>'Data Siswa'!B20</f>
        <v>SALWA JUHRATUNISA</v>
      </c>
      <c r="C22" s="11" t="str">
        <f>'Data Siswa'!C20</f>
        <v>1115</v>
      </c>
      <c r="D22" s="38">
        <v>8</v>
      </c>
      <c r="E22" s="38">
        <v>8</v>
      </c>
      <c r="F22" s="38">
        <v>8</v>
      </c>
      <c r="G22" s="38"/>
      <c r="H22" s="38"/>
      <c r="I22" s="38"/>
      <c r="J22" s="12" t="s">
        <v>94</v>
      </c>
    </row>
    <row r="23" spans="1:10" ht="15.5">
      <c r="A23" s="11">
        <f>'Data Siswa'!A21</f>
        <v>20</v>
      </c>
      <c r="B23" s="37" t="str">
        <f>'Data Siswa'!B21</f>
        <v>SITI KHORIAH</v>
      </c>
      <c r="C23" s="11" t="str">
        <f>'Data Siswa'!C21</f>
        <v>1116</v>
      </c>
      <c r="D23" s="38">
        <v>8</v>
      </c>
      <c r="E23" s="38">
        <v>8</v>
      </c>
      <c r="F23" s="38">
        <v>8</v>
      </c>
      <c r="G23" s="38"/>
      <c r="H23" s="38"/>
      <c r="I23" s="38"/>
      <c r="J23" s="12" t="s">
        <v>94</v>
      </c>
    </row>
    <row r="24" spans="1:10" ht="15.5">
      <c r="A24" s="11">
        <f>'Data Siswa'!A22</f>
        <v>21</v>
      </c>
      <c r="B24" s="37" t="str">
        <f>'Data Siswa'!B22</f>
        <v>SITI MAESAROH</v>
      </c>
      <c r="C24" s="11" t="str">
        <f>'Data Siswa'!C22</f>
        <v>1117</v>
      </c>
      <c r="D24" s="38">
        <v>8</v>
      </c>
      <c r="E24" s="38">
        <v>8</v>
      </c>
      <c r="F24" s="38">
        <v>8</v>
      </c>
      <c r="G24" s="38"/>
      <c r="H24" s="38"/>
      <c r="I24" s="38"/>
      <c r="J24" s="12" t="s">
        <v>94</v>
      </c>
    </row>
    <row r="25" spans="1:10" ht="15.5">
      <c r="A25" s="11">
        <f>'Data Siswa'!A23</f>
        <v>22</v>
      </c>
      <c r="B25" s="37" t="str">
        <f>'Data Siswa'!B23</f>
        <v>SITI ZAHROTUL UYUN</v>
      </c>
      <c r="C25" s="11" t="str">
        <f>'Data Siswa'!C23</f>
        <v>1118</v>
      </c>
      <c r="D25" s="38">
        <v>8</v>
      </c>
      <c r="E25" s="38">
        <v>8</v>
      </c>
      <c r="F25" s="38">
        <v>8</v>
      </c>
      <c r="G25" s="38"/>
      <c r="H25" s="38"/>
      <c r="I25" s="38"/>
      <c r="J25" s="12" t="s">
        <v>94</v>
      </c>
    </row>
    <row r="26" spans="1:10" ht="15.5">
      <c r="A26" s="11">
        <f>'Data Siswa'!A24</f>
        <v>23</v>
      </c>
      <c r="B26" s="37" t="str">
        <f>'Data Siswa'!B24</f>
        <v>SOFWA SALSABILA</v>
      </c>
      <c r="C26" s="11" t="str">
        <f>'Data Siswa'!C24</f>
        <v>1119</v>
      </c>
      <c r="D26" s="38">
        <v>8</v>
      </c>
      <c r="E26" s="38">
        <v>8</v>
      </c>
      <c r="F26" s="38">
        <v>8</v>
      </c>
      <c r="G26" s="38"/>
      <c r="H26" s="38"/>
      <c r="I26" s="38"/>
      <c r="J26" s="12" t="s">
        <v>94</v>
      </c>
    </row>
    <row r="27" spans="1:10" ht="15.5">
      <c r="A27" s="11">
        <f>'Data Siswa'!A25</f>
        <v>24</v>
      </c>
      <c r="B27" s="37" t="str">
        <f>'Data Siswa'!B25</f>
        <v>SULISTIA NINGSIH</v>
      </c>
      <c r="C27" s="11" t="str">
        <f>'Data Siswa'!C25</f>
        <v>1120</v>
      </c>
      <c r="D27" s="38">
        <v>8</v>
      </c>
      <c r="E27" s="38">
        <v>8</v>
      </c>
      <c r="F27" s="38">
        <v>8</v>
      </c>
      <c r="G27" s="38"/>
      <c r="H27" s="38"/>
      <c r="I27" s="38"/>
      <c r="J27" s="12" t="s">
        <v>94</v>
      </c>
    </row>
    <row r="28" spans="1:10" ht="15.5">
      <c r="A28" s="11">
        <f>'Data Siswa'!A26</f>
        <v>25</v>
      </c>
      <c r="B28" s="37" t="str">
        <f>'Data Siswa'!B26</f>
        <v>VERA FEBRIANTI</v>
      </c>
      <c r="C28" s="11" t="str">
        <f>'Data Siswa'!C26</f>
        <v>1121</v>
      </c>
      <c r="D28" s="38">
        <v>8</v>
      </c>
      <c r="E28" s="38">
        <v>8</v>
      </c>
      <c r="F28" s="38">
        <v>8</v>
      </c>
      <c r="G28" s="38"/>
      <c r="H28" s="38"/>
      <c r="I28" s="38"/>
      <c r="J28" s="12" t="s">
        <v>94</v>
      </c>
    </row>
    <row r="29" spans="1:10" ht="15.5">
      <c r="A29" s="11">
        <f>'Data Siswa'!A27</f>
        <v>26</v>
      </c>
      <c r="B29" s="37" t="str">
        <f>'Data Siswa'!B27</f>
        <v>VIVI AULIA</v>
      </c>
      <c r="C29" s="11" t="str">
        <f>'Data Siswa'!C27</f>
        <v>1122</v>
      </c>
      <c r="D29" s="38">
        <v>8</v>
      </c>
      <c r="E29" s="38">
        <v>8</v>
      </c>
      <c r="F29" s="38">
        <v>8</v>
      </c>
      <c r="G29" s="38"/>
      <c r="H29" s="38"/>
      <c r="I29" s="38"/>
      <c r="J29" s="12" t="s">
        <v>94</v>
      </c>
    </row>
    <row r="30" spans="1:10" ht="15.5">
      <c r="A30" s="11">
        <f>'Data Siswa'!A28</f>
        <v>27</v>
      </c>
      <c r="B30" s="37" t="str">
        <f>'Data Siswa'!B28</f>
        <v>ZAHRA CITRA AGUSTIN</v>
      </c>
      <c r="C30" s="11" t="str">
        <f>'Data Siswa'!C28</f>
        <v>1123</v>
      </c>
      <c r="D30" s="38">
        <v>8</v>
      </c>
      <c r="E30" s="38">
        <v>8</v>
      </c>
      <c r="F30" s="38">
        <v>8</v>
      </c>
      <c r="G30" s="38"/>
      <c r="H30" s="38"/>
      <c r="I30" s="38"/>
      <c r="J30" s="12" t="s">
        <v>94</v>
      </c>
    </row>
    <row r="31" spans="1:10" ht="15.5">
      <c r="A31" s="11">
        <f>'Data Siswa'!A29</f>
        <v>28</v>
      </c>
      <c r="B31" s="37" t="str">
        <f>'Data Siswa'!B29</f>
        <v>ZAHROTUL SYIFA</v>
      </c>
      <c r="C31" s="11" t="str">
        <f>'Data Siswa'!C29</f>
        <v>1124</v>
      </c>
      <c r="D31" s="38">
        <v>8</v>
      </c>
      <c r="E31" s="38">
        <v>8</v>
      </c>
      <c r="F31" s="38">
        <v>8</v>
      </c>
      <c r="G31" s="38"/>
      <c r="H31" s="38"/>
      <c r="I31" s="38"/>
      <c r="J31" s="12" t="s">
        <v>94</v>
      </c>
    </row>
    <row r="32" spans="1:10" ht="15.5">
      <c r="A32" s="11">
        <f>'Data Siswa'!A30</f>
        <v>29</v>
      </c>
      <c r="B32" s="37" t="str">
        <f>'Data Siswa'!B30</f>
        <v>ZAKIA MANILOKA</v>
      </c>
      <c r="C32" s="11" t="str">
        <f>'Data Siswa'!C30</f>
        <v>1125</v>
      </c>
      <c r="D32" s="38">
        <v>8</v>
      </c>
      <c r="E32" s="38">
        <v>8</v>
      </c>
      <c r="F32" s="38">
        <v>8</v>
      </c>
      <c r="G32" s="38"/>
      <c r="H32" s="38"/>
      <c r="I32" s="38"/>
      <c r="J32" s="12" t="s">
        <v>94</v>
      </c>
    </row>
    <row r="33" spans="1:10" ht="15.5">
      <c r="A33" s="11">
        <f>'Data Siswa'!A31</f>
        <v>30</v>
      </c>
      <c r="B33" s="37" t="str">
        <f>'Data Siswa'!B31</f>
        <v>ZASKIA ANANTA PAMBUDI</v>
      </c>
      <c r="C33" s="11" t="str">
        <f>'Data Siswa'!C31</f>
        <v>1126</v>
      </c>
      <c r="D33" s="38">
        <v>8</v>
      </c>
      <c r="E33" s="38">
        <v>8</v>
      </c>
      <c r="F33" s="38">
        <v>8</v>
      </c>
      <c r="G33" s="38"/>
      <c r="H33" s="38"/>
      <c r="I33" s="38"/>
      <c r="J33" s="12" t="s">
        <v>94</v>
      </c>
    </row>
    <row r="34" spans="1:10" ht="15.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38">
        <v>8</v>
      </c>
      <c r="E34" s="38">
        <v>8</v>
      </c>
      <c r="F34" s="38">
        <v>8</v>
      </c>
      <c r="G34" s="38"/>
      <c r="H34" s="38"/>
      <c r="I34" s="38"/>
      <c r="J34" s="12" t="s">
        <v>94</v>
      </c>
    </row>
    <row r="35" spans="1:10" ht="15.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38">
        <v>8</v>
      </c>
      <c r="E35" s="38">
        <v>8</v>
      </c>
      <c r="F35" s="38">
        <v>8</v>
      </c>
      <c r="G35" s="38"/>
      <c r="H35" s="38"/>
      <c r="I35" s="38"/>
      <c r="J35" s="12" t="s">
        <v>94</v>
      </c>
    </row>
    <row r="36" spans="1:10" ht="15.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38">
        <v>8</v>
      </c>
      <c r="E36" s="38">
        <v>8</v>
      </c>
      <c r="F36" s="38">
        <v>8</v>
      </c>
      <c r="G36" s="38"/>
      <c r="H36" s="38"/>
      <c r="I36" s="38"/>
      <c r="J36" s="12" t="s">
        <v>94</v>
      </c>
    </row>
    <row r="37" spans="1:10" ht="15.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38">
        <v>8</v>
      </c>
      <c r="E37" s="38">
        <v>8</v>
      </c>
      <c r="F37" s="38">
        <v>8</v>
      </c>
      <c r="G37" s="38"/>
      <c r="H37" s="38"/>
      <c r="I37" s="38"/>
      <c r="J37" s="12" t="s">
        <v>94</v>
      </c>
    </row>
    <row r="38" spans="1:10" ht="15.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38">
        <v>8</v>
      </c>
      <c r="E38" s="38">
        <v>8</v>
      </c>
      <c r="F38" s="38">
        <v>8</v>
      </c>
      <c r="G38" s="38"/>
      <c r="H38" s="38"/>
      <c r="I38" s="38"/>
      <c r="J38" s="12" t="s">
        <v>94</v>
      </c>
    </row>
    <row r="39" spans="1:10" ht="15.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38">
        <v>8</v>
      </c>
      <c r="E39" s="38">
        <v>8</v>
      </c>
      <c r="F39" s="38">
        <v>8</v>
      </c>
      <c r="G39" s="38"/>
      <c r="H39" s="38"/>
      <c r="I39" s="38"/>
      <c r="J39" s="12" t="s">
        <v>94</v>
      </c>
    </row>
    <row r="40" spans="1:10" ht="15.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38">
        <v>8</v>
      </c>
      <c r="E40" s="38">
        <v>8</v>
      </c>
      <c r="F40" s="38">
        <v>8</v>
      </c>
      <c r="G40" s="38"/>
      <c r="H40" s="38"/>
      <c r="I40" s="38"/>
      <c r="J40" s="12" t="s">
        <v>94</v>
      </c>
    </row>
    <row r="41" spans="1:10" ht="15.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38">
        <v>8</v>
      </c>
      <c r="E41" s="38">
        <v>8</v>
      </c>
      <c r="F41" s="38">
        <v>8</v>
      </c>
      <c r="G41" s="38"/>
      <c r="H41" s="38"/>
      <c r="I41" s="38"/>
      <c r="J41" s="12" t="s">
        <v>94</v>
      </c>
    </row>
    <row r="42" spans="1:10" ht="15.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38">
        <v>8</v>
      </c>
      <c r="E42" s="38">
        <v>8</v>
      </c>
      <c r="F42" s="38">
        <v>8</v>
      </c>
      <c r="G42" s="38"/>
      <c r="H42" s="38"/>
      <c r="I42" s="38"/>
      <c r="J42" s="12" t="s">
        <v>94</v>
      </c>
    </row>
    <row r="43" spans="1:10" ht="15.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38">
        <v>8</v>
      </c>
      <c r="E43" s="38">
        <v>8</v>
      </c>
      <c r="F43" s="38">
        <v>8</v>
      </c>
      <c r="G43" s="38"/>
      <c r="H43" s="38"/>
      <c r="I43" s="38"/>
      <c r="J43" s="12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zoomScale="87" zoomScaleNormal="70" zoomScalePageLayoutView="87" workbookViewId="0">
      <selection activeCell="T15" sqref="T15"/>
    </sheetView>
  </sheetViews>
  <sheetFormatPr defaultColWidth="0" defaultRowHeight="14.5" zeroHeight="1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81640625" customWidth="1"/>
    <col min="14" max="14" width="5.1796875" style="4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7265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62" t="str">
        <f>VLOOKUP($U$7,'Nilai Tahriri'!$A$2:$AG$41,2,FALSE)</f>
        <v>ZASKIA ANANTA PAMBUDI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71"/>
      <c r="N2" s="71"/>
      <c r="O2" s="71"/>
      <c r="P2" s="71"/>
      <c r="Q2" s="71"/>
      <c r="R2" s="71"/>
      <c r="S2" s="72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257" t="str">
        <f>Biodata!$B$10</f>
        <v>العام الدراسي : ١٤٤٤ - ١٤٤٥ ه \ ٢٠٢٣ - ٢٠٢٤ م</v>
      </c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 t="str">
        <f>Biodata!$B$7</f>
        <v>الفصل الدراسي : الأول</v>
      </c>
      <c r="N3" s="257"/>
      <c r="O3" s="257"/>
      <c r="P3" s="257" t="str">
        <f>Biodata!$B$4</f>
        <v>الصف  : الرابع ج للبنات</v>
      </c>
      <c r="Q3" s="257"/>
      <c r="R3" s="257"/>
      <c r="S3" s="72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73" t="s">
        <v>94</v>
      </c>
      <c r="C4" s="73"/>
      <c r="D4" s="73"/>
      <c r="E4" s="73"/>
      <c r="F4" s="73"/>
      <c r="G4" s="73"/>
      <c r="H4" s="73"/>
      <c r="I4" s="73"/>
      <c r="J4" s="73"/>
      <c r="K4" s="73"/>
      <c r="L4" s="15"/>
      <c r="M4" s="73"/>
      <c r="O4" s="73"/>
      <c r="P4" s="73"/>
      <c r="Q4" s="73"/>
      <c r="R4" s="73"/>
      <c r="S4" s="72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60" t="s">
        <v>267</v>
      </c>
      <c r="C5" s="261"/>
      <c r="D5" s="261"/>
      <c r="E5" s="261"/>
      <c r="F5" s="261"/>
      <c r="G5" s="261"/>
      <c r="H5" s="261"/>
      <c r="I5" s="261"/>
      <c r="J5" s="261"/>
      <c r="K5" s="261"/>
      <c r="L5" s="272" t="s">
        <v>0</v>
      </c>
      <c r="M5" s="260" t="s">
        <v>267</v>
      </c>
      <c r="N5" s="261"/>
      <c r="O5" s="261"/>
      <c r="P5" s="261"/>
      <c r="Q5" s="261"/>
      <c r="R5" s="266" t="s">
        <v>0</v>
      </c>
      <c r="S5" s="73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271" t="s">
        <v>1</v>
      </c>
      <c r="C6" s="270"/>
      <c r="D6" s="270"/>
      <c r="E6" s="270"/>
      <c r="F6" s="270"/>
      <c r="G6" s="270" t="s">
        <v>2</v>
      </c>
      <c r="H6" s="270"/>
      <c r="I6" s="270"/>
      <c r="J6" s="270"/>
      <c r="K6" s="270"/>
      <c r="L6" s="273"/>
      <c r="M6" s="271" t="s">
        <v>1</v>
      </c>
      <c r="N6" s="270"/>
      <c r="O6" s="270" t="s">
        <v>3</v>
      </c>
      <c r="P6" s="270"/>
      <c r="Q6" s="270"/>
      <c r="R6" s="267"/>
      <c r="S6" s="74"/>
      <c r="T6" s="43"/>
      <c r="U6" s="44" t="s">
        <v>95</v>
      </c>
      <c r="V6" s="43"/>
      <c r="W6" s="1"/>
      <c r="X6" s="1"/>
      <c r="Y6" s="1"/>
      <c r="Z6" s="1"/>
      <c r="AA6" s="1"/>
      <c r="AB6" s="1"/>
    </row>
    <row r="7" spans="2:28" ht="17.149999999999999" customHeight="1">
      <c r="B7" s="119" t="s">
        <v>4</v>
      </c>
      <c r="C7" s="211" t="s">
        <v>5</v>
      </c>
      <c r="D7" s="211"/>
      <c r="E7" s="211"/>
      <c r="F7" s="211"/>
      <c r="G7" s="211"/>
      <c r="H7" s="211"/>
      <c r="I7" s="211"/>
      <c r="J7" s="211"/>
      <c r="K7" s="211"/>
      <c r="L7" s="274"/>
      <c r="M7" s="121" t="s">
        <v>4</v>
      </c>
      <c r="N7" s="75" t="s">
        <v>5</v>
      </c>
      <c r="O7" s="211"/>
      <c r="P7" s="211"/>
      <c r="Q7" s="211"/>
      <c r="R7" s="267"/>
      <c r="S7" s="74"/>
      <c r="T7" s="43"/>
      <c r="U7" s="45">
        <v>30</v>
      </c>
      <c r="V7" s="43"/>
      <c r="W7" s="1"/>
      <c r="X7" s="1"/>
      <c r="Y7" s="1"/>
      <c r="Z7" s="1"/>
      <c r="AA7" s="1"/>
      <c r="AB7" s="1"/>
    </row>
    <row r="8" spans="2:28" ht="15.65" customHeight="1">
      <c r="B8" s="250" t="s">
        <v>139</v>
      </c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76" t="str">
        <f>VLOOKUP(N8,Sheet1!$A$1:$B$93,2)</f>
        <v xml:space="preserve"> </v>
      </c>
      <c r="N8" s="77"/>
      <c r="O8" s="78"/>
      <c r="P8" s="268" t="s">
        <v>97</v>
      </c>
      <c r="Q8" s="269"/>
      <c r="R8" s="79">
        <v>1</v>
      </c>
      <c r="S8" s="74"/>
      <c r="T8" s="43"/>
      <c r="U8" s="1"/>
      <c r="V8" s="43"/>
      <c r="W8" s="1"/>
      <c r="X8" s="1"/>
      <c r="Y8" s="1"/>
      <c r="Z8" s="1"/>
      <c r="AA8" s="1"/>
      <c r="AB8" s="1"/>
    </row>
    <row r="9" spans="2:28" ht="15.65" customHeight="1">
      <c r="B9" s="80" t="str">
        <f>VLOOKUP(C9,Sheet1!$A$1:$B$93,2)</f>
        <v xml:space="preserve"> ستّ</v>
      </c>
      <c r="C9" s="258">
        <f>VLOOKUP($U$7,'Nilai Syafahi'!$A$4:$Z$43,4,FALSE)</f>
        <v>6</v>
      </c>
      <c r="D9" s="259"/>
      <c r="E9" s="259"/>
      <c r="F9" s="259"/>
      <c r="G9" s="239" t="s">
        <v>141</v>
      </c>
      <c r="H9" s="240"/>
      <c r="I9" s="240"/>
      <c r="J9" s="240"/>
      <c r="K9" s="241"/>
      <c r="L9" s="81">
        <v>40</v>
      </c>
      <c r="M9" s="82" t="str">
        <f>VLOOKUP(N9,Sheet1!$A$1:$B$93,2)</f>
        <v xml:space="preserve"> خمس</v>
      </c>
      <c r="N9" s="120">
        <f>VLOOKUP($U$7,'Nilai Tahriri'!$A$2:$AG$41,4,FALSE)</f>
        <v>5</v>
      </c>
      <c r="O9" s="83"/>
      <c r="P9" s="175" t="s">
        <v>98</v>
      </c>
      <c r="Q9" s="175"/>
      <c r="R9" s="86">
        <v>2</v>
      </c>
      <c r="S9" s="74"/>
      <c r="T9" s="43"/>
      <c r="U9" s="218" t="s">
        <v>149</v>
      </c>
      <c r="V9" s="172">
        <v>1</v>
      </c>
      <c r="W9" s="1"/>
      <c r="X9" s="1"/>
      <c r="Y9" s="1"/>
      <c r="Z9" s="1"/>
      <c r="AA9" s="1"/>
      <c r="AB9" s="1"/>
    </row>
    <row r="10" spans="2:28" ht="15.65" customHeight="1">
      <c r="B10" s="84" t="str">
        <f>VLOOKUP(C10,Sheet1!$A$1:$B$93,2)</f>
        <v xml:space="preserve"> سبع</v>
      </c>
      <c r="C10" s="166">
        <f>VLOOKUP($U$7,'Nilai Syafahi'!$A$4:$Z$43,5,FALSE)</f>
        <v>7</v>
      </c>
      <c r="D10" s="167"/>
      <c r="E10" s="167"/>
      <c r="F10" s="167"/>
      <c r="G10" s="200"/>
      <c r="H10" s="201"/>
      <c r="I10" s="201"/>
      <c r="J10" s="201"/>
      <c r="K10" s="118" t="s">
        <v>6</v>
      </c>
      <c r="L10" s="85">
        <v>41</v>
      </c>
      <c r="M10" s="82" t="str">
        <f>VLOOKUP(N10,Sheet1!$A$1:$B$93,2)</f>
        <v xml:space="preserve"> سبع</v>
      </c>
      <c r="N10" s="120">
        <f>VLOOKUP($U$7,'Nilai Tahriri'!$A$2:$AG$41,5,FALSE)</f>
        <v>7</v>
      </c>
      <c r="O10" s="83"/>
      <c r="P10" s="175" t="s">
        <v>99</v>
      </c>
      <c r="Q10" s="175"/>
      <c r="R10" s="86">
        <v>3</v>
      </c>
      <c r="S10" s="74"/>
      <c r="T10" s="43"/>
      <c r="U10" s="219"/>
      <c r="V10" s="173"/>
      <c r="W10" s="1"/>
      <c r="X10" s="1"/>
      <c r="Y10" s="1"/>
      <c r="Z10" s="1"/>
      <c r="AA10" s="1"/>
      <c r="AB10" s="1"/>
    </row>
    <row r="11" spans="2:28" ht="15.65" customHeight="1">
      <c r="B11" s="84" t="str">
        <f>VLOOKUP(C11,Sheet1!$A$1:$B$93,2)</f>
        <v xml:space="preserve"> سبع</v>
      </c>
      <c r="C11" s="166">
        <f>VLOOKUP($U$7,'Nilai Syafahi'!$A$4:$Z$43,6,FALSE)</f>
        <v>7</v>
      </c>
      <c r="D11" s="167"/>
      <c r="E11" s="167"/>
      <c r="F11" s="167"/>
      <c r="G11" s="200"/>
      <c r="H11" s="201"/>
      <c r="I11" s="201"/>
      <c r="J11" s="201"/>
      <c r="K11" s="118" t="s">
        <v>8</v>
      </c>
      <c r="L11" s="85">
        <v>42</v>
      </c>
      <c r="M11" s="82" t="str">
        <f>VLOOKUP(N11,Sheet1!$A$1:$B$93,2)</f>
        <v xml:space="preserve"> </v>
      </c>
      <c r="N11" s="120"/>
      <c r="O11" s="83"/>
      <c r="P11" s="175" t="s">
        <v>100</v>
      </c>
      <c r="Q11" s="175"/>
      <c r="R11" s="86">
        <v>4</v>
      </c>
      <c r="S11" s="74"/>
      <c r="T11" s="43"/>
      <c r="U11" s="218" t="s">
        <v>150</v>
      </c>
      <c r="V11" s="191">
        <v>30</v>
      </c>
      <c r="W11" s="1"/>
      <c r="X11" s="1"/>
      <c r="Y11" s="1"/>
      <c r="Z11" s="1"/>
      <c r="AA11" s="1"/>
      <c r="AB11" s="1"/>
    </row>
    <row r="12" spans="2:28" ht="15.65" customHeight="1">
      <c r="B12" s="84" t="str">
        <f>VLOOKUP(C12,Sheet1!$A$1:$B$93,2)</f>
        <v xml:space="preserve"> ست و نصف</v>
      </c>
      <c r="C12" s="166">
        <f>VLOOKUP($U$7,'Nilai Syafahi'!$A$4:$Z$43,7,FALSE)</f>
        <v>6.5</v>
      </c>
      <c r="D12" s="167"/>
      <c r="E12" s="167"/>
      <c r="F12" s="167"/>
      <c r="G12" s="200"/>
      <c r="H12" s="201"/>
      <c r="I12" s="201"/>
      <c r="J12" s="201"/>
      <c r="K12" s="118" t="s">
        <v>10</v>
      </c>
      <c r="L12" s="85">
        <v>43</v>
      </c>
      <c r="M12" s="82" t="str">
        <f>VLOOKUP(N12,Sheet1!$A$1:$B$93,2)</f>
        <v xml:space="preserve"> سبع و نصف</v>
      </c>
      <c r="N12" s="120">
        <f>VLOOKUP($U$7,'Nilai Tahriri'!$A$2:$AG$41,6,FALSE)</f>
        <v>7.5</v>
      </c>
      <c r="O12" s="83"/>
      <c r="P12" s="175" t="s">
        <v>101</v>
      </c>
      <c r="Q12" s="175"/>
      <c r="R12" s="86">
        <v>5</v>
      </c>
      <c r="S12" s="74"/>
      <c r="T12" s="43"/>
      <c r="U12" s="219"/>
      <c r="V12" s="173"/>
      <c r="W12" s="1"/>
      <c r="X12" s="1"/>
      <c r="Y12" s="1"/>
      <c r="Z12" s="1"/>
      <c r="AA12" s="1"/>
      <c r="AB12" s="1"/>
    </row>
    <row r="13" spans="2:28" ht="15.65" customHeight="1">
      <c r="B13" s="84" t="str">
        <f>VLOOKUP(C13,Sheet1!$A$1:$B$93,2)</f>
        <v xml:space="preserve"> ستّ</v>
      </c>
      <c r="C13" s="166">
        <f>VLOOKUP($U$7,'Nilai Syafahi'!$A$4:$Z$43,8,FALSE)</f>
        <v>6</v>
      </c>
      <c r="D13" s="167"/>
      <c r="E13" s="167"/>
      <c r="F13" s="167"/>
      <c r="G13" s="200"/>
      <c r="H13" s="201"/>
      <c r="I13" s="201"/>
      <c r="J13" s="201"/>
      <c r="K13" s="118" t="s">
        <v>11</v>
      </c>
      <c r="L13" s="85">
        <v>44</v>
      </c>
      <c r="M13" s="82" t="str">
        <f>VLOOKUP(N13,Sheet1!$A$1:$B$93,2)</f>
        <v xml:space="preserve"> ست و نصف</v>
      </c>
      <c r="N13" s="120">
        <f>VLOOKUP($U$7,'Nilai Tahriri'!$A$2:$AG$41,7,FALSE)</f>
        <v>6.5</v>
      </c>
      <c r="O13" s="83"/>
      <c r="P13" s="175" t="s">
        <v>102</v>
      </c>
      <c r="Q13" s="175"/>
      <c r="R13" s="86">
        <v>6</v>
      </c>
      <c r="S13" s="74"/>
      <c r="T13" s="43"/>
      <c r="U13" s="1"/>
      <c r="V13" s="43"/>
      <c r="W13" s="1"/>
      <c r="X13" s="1"/>
      <c r="Y13" s="1"/>
      <c r="Z13" s="1"/>
      <c r="AA13" s="1"/>
      <c r="AB13" s="1"/>
    </row>
    <row r="14" spans="2:28" ht="15.65" customHeight="1">
      <c r="B14" s="84" t="str">
        <f>VLOOKUP(C14,Sheet1!$A$1:$B$93,2)</f>
        <v xml:space="preserve"> خمس و نصف</v>
      </c>
      <c r="C14" s="166">
        <f>VLOOKUP($U$7,'Nilai Syafahi'!$A$4:$Z$43,9,FALSE)</f>
        <v>5.5</v>
      </c>
      <c r="D14" s="167"/>
      <c r="E14" s="167"/>
      <c r="F14" s="167"/>
      <c r="G14" s="200"/>
      <c r="H14" s="201"/>
      <c r="I14" s="201"/>
      <c r="J14" s="201"/>
      <c r="K14" s="118" t="s">
        <v>13</v>
      </c>
      <c r="L14" s="85">
        <v>45</v>
      </c>
      <c r="M14" s="82" t="str">
        <f>VLOOKUP(N14,Sheet1!$A$1:$B$93,2)</f>
        <v xml:space="preserve"> </v>
      </c>
      <c r="N14" s="120"/>
      <c r="O14" s="83"/>
      <c r="P14" s="175" t="s">
        <v>103</v>
      </c>
      <c r="Q14" s="175"/>
      <c r="R14" s="86">
        <v>7</v>
      </c>
      <c r="S14" s="87"/>
      <c r="T14" s="46"/>
      <c r="U14" s="1"/>
      <c r="V14" s="46"/>
      <c r="W14" s="1"/>
      <c r="X14" s="1"/>
      <c r="Y14" s="1"/>
      <c r="Z14" s="1"/>
      <c r="AA14" s="1"/>
      <c r="AB14" s="1"/>
    </row>
    <row r="15" spans="2:28" ht="15.65" customHeight="1">
      <c r="B15" s="250" t="s">
        <v>140</v>
      </c>
      <c r="C15" s="251"/>
      <c r="D15" s="251"/>
      <c r="E15" s="251"/>
      <c r="F15" s="251"/>
      <c r="G15" s="251"/>
      <c r="H15" s="251"/>
      <c r="I15" s="251"/>
      <c r="J15" s="251"/>
      <c r="K15" s="251"/>
      <c r="L15" s="251"/>
      <c r="M15" s="82" t="str">
        <f>VLOOKUP(N15,Sheet1!$A$1:$B$93,2)</f>
        <v xml:space="preserve"> </v>
      </c>
      <c r="N15" s="120"/>
      <c r="O15" s="83"/>
      <c r="P15" s="175" t="s">
        <v>104</v>
      </c>
      <c r="Q15" s="175"/>
      <c r="R15" s="86">
        <v>8</v>
      </c>
      <c r="S15" s="87"/>
      <c r="T15" s="46"/>
      <c r="U15" s="1"/>
      <c r="V15" s="46"/>
      <c r="W15" s="1"/>
      <c r="X15" s="1"/>
      <c r="Y15" s="1"/>
      <c r="Z15" s="1"/>
      <c r="AA15" s="1"/>
      <c r="AB15" s="1"/>
    </row>
    <row r="16" spans="2:28" ht="15.65" customHeight="1">
      <c r="B16" s="84" t="str">
        <f>VLOOKUP(C16,Sheet1!$A$1:$B$93,2)</f>
        <v xml:space="preserve"> ستّ</v>
      </c>
      <c r="C16" s="166">
        <f>VLOOKUP($U$7,'Nilai Syafahi'!$A$4:$Z$43,10,FALSE)</f>
        <v>6</v>
      </c>
      <c r="D16" s="167"/>
      <c r="E16" s="167"/>
      <c r="F16" s="167"/>
      <c r="G16" s="177" t="s">
        <v>63</v>
      </c>
      <c r="H16" s="178"/>
      <c r="I16" s="178"/>
      <c r="J16" s="178"/>
      <c r="K16" s="179"/>
      <c r="L16" s="85">
        <v>46</v>
      </c>
      <c r="M16" s="82" t="str">
        <f>VLOOKUP(N16,Sheet1!$A$1:$B$93,2)</f>
        <v xml:space="preserve"> خمس و نصف</v>
      </c>
      <c r="N16" s="120">
        <f>VLOOKUP($U$7,'Nilai Tahriri'!$A$2:$AG$41,8,FALSE)</f>
        <v>5.5</v>
      </c>
      <c r="O16" s="83"/>
      <c r="P16" s="175" t="s">
        <v>105</v>
      </c>
      <c r="Q16" s="175"/>
      <c r="R16" s="86">
        <v>9</v>
      </c>
      <c r="S16" s="87"/>
      <c r="T16" s="46"/>
      <c r="U16" s="1"/>
      <c r="V16" s="46"/>
      <c r="W16" s="1"/>
      <c r="X16" s="1"/>
      <c r="Y16" s="1"/>
      <c r="Z16" s="1"/>
      <c r="AA16" s="1"/>
      <c r="AB16" s="1"/>
    </row>
    <row r="17" spans="2:28" ht="15.65" customHeight="1">
      <c r="B17" s="84" t="str">
        <f>VLOOKUP(C17,Sheet1!$A$1:$B$93,2)</f>
        <v xml:space="preserve"> خمس</v>
      </c>
      <c r="C17" s="166">
        <f>VLOOKUP($U$7,'Nilai Syafahi'!$A$4:$Z$43,11,FALSE)</f>
        <v>5</v>
      </c>
      <c r="D17" s="167"/>
      <c r="E17" s="167"/>
      <c r="F17" s="167"/>
      <c r="G17" s="177" t="s">
        <v>177</v>
      </c>
      <c r="H17" s="178" t="s">
        <v>177</v>
      </c>
      <c r="I17" s="178" t="s">
        <v>177</v>
      </c>
      <c r="J17" s="178" t="s">
        <v>177</v>
      </c>
      <c r="K17" s="179" t="s">
        <v>177</v>
      </c>
      <c r="L17" s="85">
        <v>47</v>
      </c>
      <c r="M17" s="82" t="str">
        <f>VLOOKUP(N17,Sheet1!$A$1:$B$93,2)</f>
        <v xml:space="preserve"> </v>
      </c>
      <c r="N17" s="120"/>
      <c r="O17" s="83"/>
      <c r="P17" s="175" t="s">
        <v>106</v>
      </c>
      <c r="Q17" s="175"/>
      <c r="R17" s="86">
        <v>10</v>
      </c>
      <c r="S17" s="87"/>
      <c r="T17" s="46"/>
      <c r="U17" s="1"/>
      <c r="V17" s="46"/>
      <c r="W17" s="1"/>
      <c r="X17" s="1"/>
      <c r="Y17" s="1"/>
      <c r="Z17" s="1"/>
      <c r="AA17" s="1"/>
      <c r="AB17" s="1"/>
    </row>
    <row r="18" spans="2:28" ht="15.65" customHeight="1">
      <c r="B18" s="84" t="str">
        <f>VLOOKUP(C18,Sheet1!$A$1:$B$93,2)</f>
        <v xml:space="preserve"> خمس</v>
      </c>
      <c r="C18" s="166">
        <f>VLOOKUP($U$7,'Nilai Syafahi'!$A$4:$Z$43,12,FALSE)</f>
        <v>5</v>
      </c>
      <c r="D18" s="167"/>
      <c r="E18" s="167"/>
      <c r="F18" s="167"/>
      <c r="G18" s="177" t="s">
        <v>85</v>
      </c>
      <c r="H18" s="178"/>
      <c r="I18" s="178"/>
      <c r="J18" s="178"/>
      <c r="K18" s="179"/>
      <c r="L18" s="85">
        <v>48</v>
      </c>
      <c r="M18" s="82" t="str">
        <f>VLOOKUP(N18,Sheet1!$A$1:$B$93,2)</f>
        <v xml:space="preserve"> اربع و نصف</v>
      </c>
      <c r="N18" s="120">
        <f>VLOOKUP($U$7,'Nilai Tahriri'!$A$2:$AG$41,9,FALSE)</f>
        <v>4.5</v>
      </c>
      <c r="O18" s="83"/>
      <c r="P18" s="175" t="s">
        <v>107</v>
      </c>
      <c r="Q18" s="175"/>
      <c r="R18" s="86">
        <v>11</v>
      </c>
      <c r="S18" s="87"/>
      <c r="T18" s="46"/>
      <c r="U18" s="1"/>
      <c r="V18" s="46"/>
      <c r="W18" s="1"/>
      <c r="X18" s="1"/>
      <c r="Y18" s="1"/>
      <c r="Z18" s="1"/>
      <c r="AA18" s="1"/>
      <c r="AB18" s="1"/>
    </row>
    <row r="19" spans="2:28" ht="15.65" customHeight="1">
      <c r="B19" s="84" t="str">
        <f>VLOOKUP(C19,Sheet1!$A$1:$B$93,2)</f>
        <v xml:space="preserve"> ستّ</v>
      </c>
      <c r="C19" s="166">
        <f>VLOOKUP($U$7,'Nilai Syafahi'!$A$4:$Z$43,13,FALSE)</f>
        <v>6</v>
      </c>
      <c r="D19" s="167"/>
      <c r="E19" s="167"/>
      <c r="F19" s="167"/>
      <c r="G19" s="177" t="s">
        <v>266</v>
      </c>
      <c r="H19" s="178"/>
      <c r="I19" s="178"/>
      <c r="J19" s="178"/>
      <c r="K19" s="179"/>
      <c r="L19" s="85">
        <v>49</v>
      </c>
      <c r="M19" s="82" t="str">
        <f>VLOOKUP(N19,Sheet1!$A$1:$B$93,2)</f>
        <v xml:space="preserve"> اربع و نصف</v>
      </c>
      <c r="N19" s="120">
        <f>VLOOKUP($U$7,'Nilai Tahriri'!$A$2:$AG$41,10,FALSE)</f>
        <v>4.5</v>
      </c>
      <c r="O19" s="83"/>
      <c r="P19" s="175" t="s">
        <v>108</v>
      </c>
      <c r="Q19" s="175"/>
      <c r="R19" s="86">
        <v>12</v>
      </c>
      <c r="S19" s="87"/>
      <c r="T19" s="46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88" t="str">
        <f>VLOOKUP(C20,Sheet1!$A$1:$B$93,2)</f>
        <v xml:space="preserve"> ستّ</v>
      </c>
      <c r="C20" s="166">
        <f>VLOOKUP($U$7,'Nilai Syafahi'!$A$4:$Z$43,14,FALSE)</f>
        <v>6</v>
      </c>
      <c r="D20" s="167"/>
      <c r="E20" s="167"/>
      <c r="F20" s="167"/>
      <c r="G20" s="177" t="s">
        <v>86</v>
      </c>
      <c r="H20" s="178"/>
      <c r="I20" s="178"/>
      <c r="J20" s="178"/>
      <c r="K20" s="179"/>
      <c r="L20" s="85">
        <v>50</v>
      </c>
      <c r="M20" s="82" t="str">
        <f>VLOOKUP(N20,Sheet1!$A$1:$B$93,2)</f>
        <v xml:space="preserve"> ستّ</v>
      </c>
      <c r="N20" s="120">
        <f>VLOOKUP($U$7,'Nilai Tahriri'!$A$2:$AG$41,11,FALSE)</f>
        <v>6</v>
      </c>
      <c r="O20" s="83"/>
      <c r="P20" s="175" t="s">
        <v>109</v>
      </c>
      <c r="Q20" s="175"/>
      <c r="R20" s="86">
        <v>13</v>
      </c>
      <c r="S20" s="87"/>
      <c r="T20" s="46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16" t="s">
        <v>137</v>
      </c>
      <c r="C21" s="217"/>
      <c r="D21" s="217"/>
      <c r="E21" s="217"/>
      <c r="F21" s="217"/>
      <c r="G21" s="217"/>
      <c r="H21" s="217"/>
      <c r="I21" s="217"/>
      <c r="J21" s="217"/>
      <c r="K21" s="217"/>
      <c r="L21" s="217"/>
      <c r="M21" s="82" t="str">
        <f>VLOOKUP(N21,Sheet1!$A$1:$B$93,2)</f>
        <v xml:space="preserve"> خمس</v>
      </c>
      <c r="N21" s="120">
        <f>VLOOKUP($U$7,'Nilai Tahriri'!$A$2:$AG$41,12,FALSE)</f>
        <v>5</v>
      </c>
      <c r="O21" s="83"/>
      <c r="P21" s="175" t="s">
        <v>10</v>
      </c>
      <c r="Q21" s="175"/>
      <c r="R21" s="86">
        <v>14</v>
      </c>
      <c r="S21" s="87"/>
      <c r="T21" s="46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84" t="str">
        <f>VLOOKUP(C22,Sheet1!$A$1:$B$93,2)</f>
        <v xml:space="preserve"> ستّ</v>
      </c>
      <c r="C22" s="174">
        <f>VLOOKUP($U$7,'Nilai Syafahi'!$A$4:$Z$43,15,FALSE)</f>
        <v>6</v>
      </c>
      <c r="D22" s="174"/>
      <c r="E22" s="174"/>
      <c r="F22" s="174"/>
      <c r="G22" s="180" t="s">
        <v>179</v>
      </c>
      <c r="H22" s="181"/>
      <c r="I22" s="181"/>
      <c r="J22" s="181"/>
      <c r="K22" s="181"/>
      <c r="L22" s="89">
        <v>51</v>
      </c>
      <c r="M22" s="82" t="str">
        <f>VLOOKUP(N22,Sheet1!$A$1:$B$93,2)</f>
        <v xml:space="preserve"> خمس</v>
      </c>
      <c r="N22" s="120">
        <f>VLOOKUP($U$7,'Nilai Tahriri'!$A$2:$AG$41,13,FALSE)</f>
        <v>5</v>
      </c>
      <c r="O22" s="83"/>
      <c r="P22" s="175" t="s">
        <v>11</v>
      </c>
      <c r="Q22" s="175">
        <v>12</v>
      </c>
      <c r="R22" s="86">
        <v>15</v>
      </c>
      <c r="S22" s="87"/>
      <c r="T22" s="46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84" t="str">
        <f>VLOOKUP(C23,Sheet1!$A$1:$B$93,2)</f>
        <v xml:space="preserve"> ستّ</v>
      </c>
      <c r="C23" s="174">
        <f>VLOOKUP($U$7,'Nilai Syafahi'!$A$4:$Z$43,16,FALSE)</f>
        <v>6</v>
      </c>
      <c r="D23" s="174"/>
      <c r="E23" s="174"/>
      <c r="F23" s="174"/>
      <c r="G23" s="194" t="s">
        <v>178</v>
      </c>
      <c r="H23" s="175"/>
      <c r="I23" s="175"/>
      <c r="J23" s="175"/>
      <c r="K23" s="175"/>
      <c r="L23" s="90">
        <v>52</v>
      </c>
      <c r="M23" s="82" t="str">
        <f>VLOOKUP(N23,Sheet1!$A$1:$B$93,2)</f>
        <v xml:space="preserve"> خمس</v>
      </c>
      <c r="N23" s="120">
        <f>VLOOKUP($U$7,'Nilai Tahriri'!$A$2:$AG$41,14,FALSE)</f>
        <v>5</v>
      </c>
      <c r="O23" s="83"/>
      <c r="P23" s="175" t="s">
        <v>110</v>
      </c>
      <c r="Q23" s="175"/>
      <c r="R23" s="86">
        <v>16</v>
      </c>
      <c r="S23" s="87"/>
      <c r="T23" s="46"/>
      <c r="U23" s="1"/>
      <c r="V23" s="46"/>
      <c r="W23" s="1"/>
      <c r="X23" s="1"/>
      <c r="Y23" s="1"/>
      <c r="Z23" s="1"/>
      <c r="AA23" s="1"/>
      <c r="AB23" s="1"/>
    </row>
    <row r="24" spans="2:28" ht="15.65" customHeight="1">
      <c r="B24" s="84" t="str">
        <f>VLOOKUP(C24,Sheet1!$A$1:$B$93,2)</f>
        <v xml:space="preserve"> سبع</v>
      </c>
      <c r="C24" s="174">
        <f>VLOOKUP($U$7,'Nilai Syafahi'!$A$4:$Z$43,17,FALSE)</f>
        <v>7</v>
      </c>
      <c r="D24" s="174"/>
      <c r="E24" s="174"/>
      <c r="F24" s="174"/>
      <c r="G24" s="194" t="s">
        <v>14</v>
      </c>
      <c r="H24" s="175"/>
      <c r="I24" s="175"/>
      <c r="J24" s="175"/>
      <c r="K24" s="175"/>
      <c r="L24" s="91">
        <v>53</v>
      </c>
      <c r="M24" s="82" t="str">
        <f>VLOOKUP(N24,Sheet1!$A$1:$B$93,2)</f>
        <v xml:space="preserve"> خمس</v>
      </c>
      <c r="N24" s="120">
        <f>VLOOKUP($U$7,'Nilai Tahriri'!$A$2:$AG$41,15,FALSE)</f>
        <v>5</v>
      </c>
      <c r="O24" s="83"/>
      <c r="P24" s="175" t="s">
        <v>111</v>
      </c>
      <c r="Q24" s="175"/>
      <c r="R24" s="86">
        <v>17</v>
      </c>
      <c r="S24" s="87"/>
      <c r="T24" s="46"/>
      <c r="U24" s="47"/>
      <c r="V24" s="46"/>
      <c r="W24" s="1"/>
      <c r="X24" s="1"/>
      <c r="Y24" s="1"/>
      <c r="Z24" s="1"/>
      <c r="AA24" s="1"/>
      <c r="AB24" s="1"/>
    </row>
    <row r="25" spans="2:28" ht="15.65" customHeight="1">
      <c r="B25" s="84" t="str">
        <f>VLOOKUP(C25,Sheet1!$A$1:$B$93,2)</f>
        <v xml:space="preserve"> ستّ</v>
      </c>
      <c r="C25" s="174">
        <f>VLOOKUP($U$7,'Nilai Syafahi'!$A$4:$Z$43,18,FALSE)</f>
        <v>6</v>
      </c>
      <c r="D25" s="174"/>
      <c r="E25" s="174"/>
      <c r="F25" s="174"/>
      <c r="G25" s="194" t="s">
        <v>101</v>
      </c>
      <c r="H25" s="175"/>
      <c r="I25" s="175"/>
      <c r="J25" s="175"/>
      <c r="K25" s="175"/>
      <c r="L25" s="90">
        <v>54</v>
      </c>
      <c r="M25" s="82" t="str">
        <f>VLOOKUP(N25,Sheet1!$A$1:$B$93,2)</f>
        <v xml:space="preserve"> خمس و نصف</v>
      </c>
      <c r="N25" s="120">
        <f>VLOOKUP($U$7,'Nilai Tahriri'!$A$2:$AG$41,16,FALSE)</f>
        <v>5.5</v>
      </c>
      <c r="O25" s="83"/>
      <c r="P25" s="175" t="s">
        <v>112</v>
      </c>
      <c r="Q25" s="175"/>
      <c r="R25" s="86">
        <v>18</v>
      </c>
      <c r="S25" s="87"/>
      <c r="T25" s="46"/>
      <c r="U25" s="1"/>
      <c r="V25" s="46"/>
      <c r="W25" s="1"/>
      <c r="X25" s="1"/>
      <c r="Y25" s="1"/>
      <c r="Z25" s="1"/>
      <c r="AA25" s="1"/>
      <c r="AB25" s="1"/>
    </row>
    <row r="26" spans="2:28" ht="15.65" customHeight="1">
      <c r="B26" s="84" t="str">
        <f>VLOOKUP(C26,Sheet1!$A$1:$B$93,2)</f>
        <v xml:space="preserve"> </v>
      </c>
      <c r="C26" s="174"/>
      <c r="D26" s="174"/>
      <c r="E26" s="174"/>
      <c r="F26" s="174"/>
      <c r="G26" s="248" t="s">
        <v>180</v>
      </c>
      <c r="H26" s="249"/>
      <c r="I26" s="249"/>
      <c r="J26" s="249"/>
      <c r="K26" s="122" t="s">
        <v>264</v>
      </c>
      <c r="L26" s="91">
        <v>55</v>
      </c>
      <c r="M26" s="82" t="str">
        <f>VLOOKUP(N26,Sheet1!$A$1:$B$93,2)</f>
        <v xml:space="preserve"> </v>
      </c>
      <c r="N26" s="120"/>
      <c r="O26" s="83"/>
      <c r="P26" s="175" t="s">
        <v>113</v>
      </c>
      <c r="Q26" s="175"/>
      <c r="R26" s="86">
        <v>19</v>
      </c>
      <c r="S26" s="87"/>
      <c r="T26" s="46"/>
      <c r="U26" s="1"/>
      <c r="V26" s="46"/>
      <c r="W26" s="1"/>
      <c r="X26" s="1"/>
      <c r="Y26" s="1"/>
      <c r="Z26" s="1"/>
      <c r="AA26" s="1"/>
      <c r="AB26" s="1"/>
    </row>
    <row r="27" spans="2:28" ht="15.65" customHeight="1">
      <c r="B27" s="88" t="str">
        <f>VLOOKUP(C27,Sheet1!$A$1:$B$93,2)</f>
        <v xml:space="preserve"> سبع</v>
      </c>
      <c r="C27" s="213">
        <f>VLOOKUP($U$7,'Nilai Syafahi'!$A$4:$Z$43,19,FALSE)</f>
        <v>7</v>
      </c>
      <c r="D27" s="213"/>
      <c r="E27" s="213"/>
      <c r="F27" s="213"/>
      <c r="G27" s="194" t="s">
        <v>17</v>
      </c>
      <c r="H27" s="175"/>
      <c r="I27" s="175"/>
      <c r="J27" s="175"/>
      <c r="K27" s="175"/>
      <c r="L27" s="92">
        <v>56</v>
      </c>
      <c r="M27" s="82" t="str">
        <f>VLOOKUP(N27,Sheet1!$A$1:$B$93,2)</f>
        <v xml:space="preserve"> </v>
      </c>
      <c r="N27" s="120"/>
      <c r="O27" s="83"/>
      <c r="P27" s="175" t="s">
        <v>114</v>
      </c>
      <c r="Q27" s="175"/>
      <c r="R27" s="86">
        <v>20</v>
      </c>
      <c r="S27" s="72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50" t="s">
        <v>138</v>
      </c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82" t="str">
        <f>VLOOKUP(N28,Sheet1!$A$1:$B$93,2)</f>
        <v xml:space="preserve"> ست و نصف</v>
      </c>
      <c r="N28" s="120">
        <f>VLOOKUP($U$7,'Nilai Tahriri'!$A$2:$AG$41,17,FALSE)</f>
        <v>6.5</v>
      </c>
      <c r="O28" s="83"/>
      <c r="P28" s="175" t="s">
        <v>115</v>
      </c>
      <c r="Q28" s="175"/>
      <c r="R28" s="86">
        <v>21</v>
      </c>
      <c r="S28" s="72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93"/>
      <c r="C29" s="174"/>
      <c r="D29" s="174"/>
      <c r="E29" s="174"/>
      <c r="F29" s="174"/>
      <c r="G29" s="239" t="s">
        <v>19</v>
      </c>
      <c r="H29" s="240"/>
      <c r="I29" s="240"/>
      <c r="J29" s="240"/>
      <c r="K29" s="241"/>
      <c r="L29" s="94">
        <v>57</v>
      </c>
      <c r="M29" s="82" t="str">
        <f>VLOOKUP(N29,Sheet1!$A$1:$B$93,2)</f>
        <v xml:space="preserve"> خمس</v>
      </c>
      <c r="N29" s="120">
        <f>VLOOKUP($U$7,'Nilai Tahriri'!$A$2:$AG$41,18,FALSE)</f>
        <v>5</v>
      </c>
      <c r="O29" s="83"/>
      <c r="P29" s="175" t="s">
        <v>116</v>
      </c>
      <c r="Q29" s="175"/>
      <c r="R29" s="86">
        <v>22</v>
      </c>
      <c r="S29" s="72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93" t="str">
        <f>VLOOKUP(C30,Sheet1!$A$1:$B$93,2)</f>
        <v xml:space="preserve"> </v>
      </c>
      <c r="C30" s="174"/>
      <c r="D30" s="174"/>
      <c r="E30" s="174"/>
      <c r="F30" s="174"/>
      <c r="G30" s="194" t="s">
        <v>20</v>
      </c>
      <c r="H30" s="175"/>
      <c r="I30" s="175"/>
      <c r="J30" s="175"/>
      <c r="K30" s="176"/>
      <c r="L30" s="90">
        <v>58</v>
      </c>
      <c r="M30" s="82" t="str">
        <f>VLOOKUP(N30,Sheet1!$A$1:$B$93,2)</f>
        <v xml:space="preserve"> خمس و نصف</v>
      </c>
      <c r="N30" s="120">
        <f>VLOOKUP($U$7,'Nilai Tahriri'!$A$2:$AG$41,19,FALSE)</f>
        <v>5.5</v>
      </c>
      <c r="O30" s="83"/>
      <c r="P30" s="175" t="s">
        <v>117</v>
      </c>
      <c r="Q30" s="175"/>
      <c r="R30" s="86">
        <v>23</v>
      </c>
      <c r="S30" s="72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95" t="str">
        <f>VLOOKUP(C31,Sheet1!$A$1:$B$93,2)</f>
        <v xml:space="preserve"> </v>
      </c>
      <c r="C31" s="247"/>
      <c r="D31" s="247"/>
      <c r="E31" s="247"/>
      <c r="F31" s="247"/>
      <c r="G31" s="194" t="s">
        <v>22</v>
      </c>
      <c r="H31" s="175"/>
      <c r="I31" s="175"/>
      <c r="J31" s="175"/>
      <c r="K31" s="176"/>
      <c r="L31" s="94">
        <v>59</v>
      </c>
      <c r="M31" s="82" t="str">
        <f>VLOOKUP(N31,Sheet1!$A$1:$B$93,2)</f>
        <v xml:space="preserve"> </v>
      </c>
      <c r="N31" s="120"/>
      <c r="O31" s="83"/>
      <c r="P31" s="175" t="s">
        <v>26</v>
      </c>
      <c r="Q31" s="175"/>
      <c r="R31" s="86">
        <v>24</v>
      </c>
      <c r="S31" s="72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95" t="str">
        <f>VLOOKUP(C32,Sheet1!$A$1:$B$93,2)</f>
        <v xml:space="preserve"> </v>
      </c>
      <c r="C32" s="247"/>
      <c r="D32" s="247"/>
      <c r="E32" s="247"/>
      <c r="F32" s="247"/>
      <c r="G32" s="242" t="s">
        <v>23</v>
      </c>
      <c r="H32" s="243"/>
      <c r="I32" s="243"/>
      <c r="J32" s="243"/>
      <c r="K32" s="244"/>
      <c r="L32" s="90">
        <v>60</v>
      </c>
      <c r="M32" s="82" t="str">
        <f>VLOOKUP(N32,Sheet1!$A$1:$B$93,2)</f>
        <v xml:space="preserve"> ثمان</v>
      </c>
      <c r="N32" s="120">
        <f>VLOOKUP($U$7,'Nilai Tahriri'!$A$2:$AG$41,20,FALSE)</f>
        <v>8</v>
      </c>
      <c r="O32" s="83"/>
      <c r="P32" s="175" t="s">
        <v>118</v>
      </c>
      <c r="Q32" s="175"/>
      <c r="R32" s="86">
        <v>25</v>
      </c>
      <c r="S32" s="72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92">
        <f>VLOOKUP($U$7,'Nilai Syafahi'!$A$4:$Z$43,20,FALSE)</f>
        <v>98</v>
      </c>
      <c r="C33" s="193"/>
      <c r="D33" s="193"/>
      <c r="E33" s="193"/>
      <c r="F33" s="193"/>
      <c r="G33" s="193"/>
      <c r="H33" s="193"/>
      <c r="I33" s="193"/>
      <c r="J33" s="193"/>
      <c r="K33" s="264" t="s">
        <v>25</v>
      </c>
      <c r="L33" s="265"/>
      <c r="M33" s="82" t="str">
        <f>VLOOKUP(N33,Sheet1!$A$1:$B$93,2)</f>
        <v xml:space="preserve"> سبع</v>
      </c>
      <c r="N33" s="120">
        <f>VLOOKUP($U$7,'Nilai Tahriri'!$A$2:$AG$41,21,FALSE)</f>
        <v>7</v>
      </c>
      <c r="O33" s="83"/>
      <c r="P33" s="175" t="s">
        <v>119</v>
      </c>
      <c r="Q33" s="175"/>
      <c r="R33" s="86">
        <v>26</v>
      </c>
      <c r="S33" s="72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20"/>
      <c r="C34" s="221"/>
      <c r="D34" s="221"/>
      <c r="E34" s="221"/>
      <c r="F34" s="221"/>
      <c r="G34" s="221"/>
      <c r="H34" s="221"/>
      <c r="I34" s="221"/>
      <c r="J34" s="221"/>
      <c r="K34" s="222"/>
      <c r="L34" s="187"/>
      <c r="M34" s="82" t="str">
        <f>VLOOKUP(N34,Sheet1!$A$1:$B$93,2)</f>
        <v xml:space="preserve"> ثمان</v>
      </c>
      <c r="N34" s="120">
        <f>VLOOKUP($U$7,'Nilai Tahriri'!$A$2:$AG$41,22,FALSE)</f>
        <v>8</v>
      </c>
      <c r="O34" s="123" t="s">
        <v>136</v>
      </c>
      <c r="P34" s="175" t="s">
        <v>120</v>
      </c>
      <c r="Q34" s="176"/>
      <c r="R34" s="79">
        <v>27</v>
      </c>
      <c r="S34" s="72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04" t="s">
        <v>29</v>
      </c>
      <c r="C35" s="205"/>
      <c r="D35" s="205"/>
      <c r="E35" s="205"/>
      <c r="F35" s="205"/>
      <c r="G35" s="205"/>
      <c r="H35" s="205"/>
      <c r="I35" s="205"/>
      <c r="J35" s="205"/>
      <c r="K35" s="206"/>
      <c r="L35" s="188"/>
      <c r="M35" s="82" t="str">
        <f>VLOOKUP(N35,Sheet1!$A$1:$B$93,2)</f>
        <v xml:space="preserve"> ثمان و نصف</v>
      </c>
      <c r="N35" s="120">
        <f>VLOOKUP($U$7,'Nilai Tahriri'!$A$2:$AG$41,23,FALSE)</f>
        <v>8.5</v>
      </c>
      <c r="O35" s="123" t="s">
        <v>134</v>
      </c>
      <c r="P35" s="175" t="s">
        <v>121</v>
      </c>
      <c r="Q35" s="176"/>
      <c r="R35" s="86">
        <v>28</v>
      </c>
      <c r="S35" s="72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23" t="s">
        <v>30</v>
      </c>
      <c r="C36" s="196"/>
      <c r="D36" s="196" t="s">
        <v>31</v>
      </c>
      <c r="E36" s="196"/>
      <c r="F36" s="196"/>
      <c r="G36" s="196"/>
      <c r="H36" s="196"/>
      <c r="I36" s="196"/>
      <c r="J36" s="196"/>
      <c r="K36" s="96" t="s">
        <v>32</v>
      </c>
      <c r="L36" s="188"/>
      <c r="M36" s="82" t="str">
        <f>VLOOKUP(N36,Sheet1!$A$1:$B$93,2)</f>
        <v xml:space="preserve"> سبع و نصف</v>
      </c>
      <c r="N36" s="120">
        <f>VLOOKUP($U$7,'Nilai Tahriri'!$A$2:$AG$41,24,FALSE)</f>
        <v>7.5</v>
      </c>
      <c r="O36" s="123" t="s">
        <v>135</v>
      </c>
      <c r="P36" s="175" t="s">
        <v>122</v>
      </c>
      <c r="Q36" s="176"/>
      <c r="R36" s="86">
        <v>29</v>
      </c>
      <c r="S36" s="72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195">
        <f>VLOOKUP($U$7,Akhlak!$A$4:$J$43,6,FALSE)</f>
        <v>8</v>
      </c>
      <c r="C37" s="186"/>
      <c r="D37" s="186">
        <f>VLOOKUP($U$7,Akhlak!$A$4:$J$43,5,FALSE)</f>
        <v>8</v>
      </c>
      <c r="E37" s="186"/>
      <c r="F37" s="186"/>
      <c r="G37" s="186"/>
      <c r="H37" s="186"/>
      <c r="I37" s="186"/>
      <c r="J37" s="186"/>
      <c r="K37" s="97">
        <f>VLOOKUP($U$7,Akhlak!$A$4:$J$43,4,FALSE)</f>
        <v>8</v>
      </c>
      <c r="L37" s="188"/>
      <c r="M37" s="82" t="str">
        <f>VLOOKUP(N37,Sheet1!$A$1:$B$93,2)</f>
        <v xml:space="preserve"> </v>
      </c>
      <c r="N37" s="120">
        <f>VLOOKUP($U$7,'Nilai Tahriri'!$A$2:$AG$41,25,FALSE)</f>
        <v>0</v>
      </c>
      <c r="O37" s="123" t="s">
        <v>34</v>
      </c>
      <c r="P37" s="175" t="s">
        <v>123</v>
      </c>
      <c r="Q37" s="176"/>
      <c r="R37" s="86">
        <v>30</v>
      </c>
      <c r="S37" s="72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54" t="s">
        <v>33</v>
      </c>
      <c r="C38" s="255"/>
      <c r="D38" s="255"/>
      <c r="E38" s="255"/>
      <c r="F38" s="255"/>
      <c r="G38" s="255"/>
      <c r="H38" s="255"/>
      <c r="I38" s="255"/>
      <c r="J38" s="255"/>
      <c r="K38" s="256"/>
      <c r="L38" s="188"/>
      <c r="M38" s="82" t="str">
        <f>VLOOKUP(N38,Sheet1!$A$1:$B$93,2)</f>
        <v xml:space="preserve"> </v>
      </c>
      <c r="N38" s="120">
        <f>VLOOKUP($U$7,'Nilai Tahriri'!$A$2:$AG$41,26,FALSE)</f>
        <v>0</v>
      </c>
      <c r="O38" s="123" t="s">
        <v>38</v>
      </c>
      <c r="P38" s="175" t="s">
        <v>124</v>
      </c>
      <c r="Q38" s="176"/>
      <c r="R38" s="86">
        <v>31</v>
      </c>
      <c r="S38" s="72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97" t="s">
        <v>35</v>
      </c>
      <c r="C39" s="198"/>
      <c r="D39" s="198" t="s">
        <v>36</v>
      </c>
      <c r="E39" s="198"/>
      <c r="F39" s="198"/>
      <c r="G39" s="198"/>
      <c r="H39" s="198"/>
      <c r="I39" s="198"/>
      <c r="J39" s="198"/>
      <c r="K39" s="96" t="s">
        <v>37</v>
      </c>
      <c r="L39" s="188"/>
      <c r="M39" s="82" t="str">
        <f>VLOOKUP(N39,Sheet1!$A$1:$B$93,2)</f>
        <v xml:space="preserve"> </v>
      </c>
      <c r="N39" s="120">
        <f>VLOOKUP($U$7,'Nilai Tahriri'!$A$2:$AG$41,27,FALSE)</f>
        <v>0</v>
      </c>
      <c r="O39" s="123" t="s">
        <v>41</v>
      </c>
      <c r="P39" s="175" t="s">
        <v>125</v>
      </c>
      <c r="Q39" s="176"/>
      <c r="R39" s="86">
        <v>32</v>
      </c>
      <c r="S39" s="72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170">
        <f>VLOOKUP($U$7,Akhlak!$A$4:$J$43,9,FALSE)</f>
        <v>0</v>
      </c>
      <c r="C40" s="171"/>
      <c r="D40" s="171">
        <f>VLOOKUP($U$7,Akhlak!$A$4:$J$43,8,FALSE)</f>
        <v>0</v>
      </c>
      <c r="E40" s="171"/>
      <c r="F40" s="171"/>
      <c r="G40" s="171"/>
      <c r="H40" s="171"/>
      <c r="I40" s="171"/>
      <c r="J40" s="171"/>
      <c r="K40" s="97">
        <f>VLOOKUP($U$7,Akhlak!$A$4:$J$43,7,FALSE)</f>
        <v>0</v>
      </c>
      <c r="L40" s="188"/>
      <c r="M40" s="82" t="str">
        <f>VLOOKUP(N40,Sheet1!$A$1:$B$93,2)</f>
        <v xml:space="preserve"> </v>
      </c>
      <c r="N40" s="120"/>
      <c r="O40" s="123" t="s">
        <v>42</v>
      </c>
      <c r="P40" s="175" t="s">
        <v>126</v>
      </c>
      <c r="Q40" s="176"/>
      <c r="R40" s="86">
        <v>33</v>
      </c>
      <c r="S40" s="72"/>
      <c r="T40" s="1"/>
      <c r="U40" s="47"/>
      <c r="V40" s="1"/>
      <c r="W40" s="1"/>
      <c r="X40" s="1"/>
      <c r="Y40" s="1"/>
      <c r="Z40" s="1"/>
      <c r="AA40" s="1"/>
      <c r="AB40" s="1"/>
    </row>
    <row r="41" spans="2:28" ht="15.65" customHeight="1">
      <c r="B41" s="168" t="s">
        <v>39</v>
      </c>
      <c r="C41" s="169"/>
      <c r="D41" s="236" t="s">
        <v>40</v>
      </c>
      <c r="E41" s="236"/>
      <c r="F41" s="236"/>
      <c r="G41" s="236"/>
      <c r="H41" s="236"/>
      <c r="I41" s="236"/>
      <c r="J41" s="236"/>
      <c r="K41" s="237"/>
      <c r="L41" s="189"/>
      <c r="M41" s="82" t="str">
        <f>VLOOKUP(N41,Sheet1!$A$1:$B$93,2)</f>
        <v xml:space="preserve"> </v>
      </c>
      <c r="N41" s="120"/>
      <c r="O41" s="123" t="s">
        <v>44</v>
      </c>
      <c r="P41" s="175" t="s">
        <v>127</v>
      </c>
      <c r="Q41" s="176"/>
      <c r="R41" s="86">
        <v>34</v>
      </c>
      <c r="S41" s="72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24">
        <f ca="1">VLOOKUP($U$7,'Nilai Syafahi'!$A$4:$Z$43,25,FALSE)</f>
        <v>9</v>
      </c>
      <c r="C42" s="225"/>
      <c r="D42" s="228">
        <f>VLOOKUP($U$7,'Nilai Syafahi'!$A$4:$Z$43,24,FALSE)</f>
        <v>6.2714285714285705</v>
      </c>
      <c r="E42" s="229"/>
      <c r="F42" s="229"/>
      <c r="G42" s="229"/>
      <c r="H42" s="229"/>
      <c r="I42" s="229"/>
      <c r="J42" s="230"/>
      <c r="K42" s="234">
        <f>VLOOKUP($U$7,'Nilai Syafahi'!$A$4:$Z$43,23,FALSE)</f>
        <v>263.39999999999998</v>
      </c>
      <c r="L42" s="188"/>
      <c r="M42" s="82" t="str">
        <f>VLOOKUP(N42,Sheet1!$A$1:$B$93,2)</f>
        <v xml:space="preserve"> </v>
      </c>
      <c r="N42" s="120"/>
      <c r="O42" s="123" t="s">
        <v>45</v>
      </c>
      <c r="P42" s="175" t="s">
        <v>128</v>
      </c>
      <c r="Q42" s="176"/>
      <c r="R42" s="86">
        <v>35</v>
      </c>
      <c r="S42" s="72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26"/>
      <c r="C43" s="227"/>
      <c r="D43" s="231"/>
      <c r="E43" s="232"/>
      <c r="F43" s="232"/>
      <c r="G43" s="232"/>
      <c r="H43" s="232"/>
      <c r="I43" s="232"/>
      <c r="J43" s="233"/>
      <c r="K43" s="235"/>
      <c r="L43" s="188"/>
      <c r="M43" s="82" t="str">
        <f>VLOOKUP(N43,Sheet1!$A$1:$B$93,2)</f>
        <v xml:space="preserve"> ثمان و واحد</v>
      </c>
      <c r="N43" s="120">
        <f>VLOOKUP($U$7,'Nilai Tahriri'!$A$2:$AG$41,31,FALSE)</f>
        <v>8.1</v>
      </c>
      <c r="O43" s="123" t="s">
        <v>132</v>
      </c>
      <c r="P43" s="175" t="s">
        <v>129</v>
      </c>
      <c r="Q43" s="176"/>
      <c r="R43" s="86">
        <v>36</v>
      </c>
      <c r="S43" s="72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183" t="s">
        <v>43</v>
      </c>
      <c r="C44" s="184"/>
      <c r="D44" s="184"/>
      <c r="E44" s="184"/>
      <c r="F44" s="184"/>
      <c r="G44" s="184"/>
      <c r="H44" s="184"/>
      <c r="I44" s="184"/>
      <c r="J44" s="184"/>
      <c r="K44" s="184"/>
      <c r="L44" s="188"/>
      <c r="M44" s="82" t="str">
        <f>VLOOKUP(N44,Sheet1!$A$1:$B$93,2)</f>
        <v xml:space="preserve"> ثمان</v>
      </c>
      <c r="N44" s="120">
        <f>VLOOKUP($U$7,'Nilai Tahriri'!$A$2:$AG$41,32,FALSE)</f>
        <v>8</v>
      </c>
      <c r="O44" s="123" t="s">
        <v>89</v>
      </c>
      <c r="P44" s="175" t="s">
        <v>130</v>
      </c>
      <c r="Q44" s="176"/>
      <c r="R44" s="86">
        <v>37</v>
      </c>
      <c r="S44" s="72"/>
      <c r="T44" s="1"/>
      <c r="U44" s="1"/>
      <c r="V44" s="202"/>
      <c r="W44" s="202"/>
      <c r="X44" s="202"/>
      <c r="Y44" s="1"/>
      <c r="Z44" s="1"/>
      <c r="AA44" s="1"/>
      <c r="AB44" s="1"/>
    </row>
    <row r="45" spans="2:28" ht="15.65" customHeight="1">
      <c r="B45" s="207" t="str">
        <f>VLOOKUP($U$7,Akhlak!$A$4:$J$43,10,FALSE)</f>
        <v xml:space="preserve"> </v>
      </c>
      <c r="C45" s="208"/>
      <c r="D45" s="208"/>
      <c r="E45" s="208"/>
      <c r="F45" s="208"/>
      <c r="G45" s="208"/>
      <c r="H45" s="208"/>
      <c r="I45" s="208"/>
      <c r="J45" s="208"/>
      <c r="K45" s="209"/>
      <c r="L45" s="188"/>
      <c r="M45" s="82" t="str">
        <f>VLOOKUP(N45,Sheet1!$A$1:$B$93,2)</f>
        <v xml:space="preserve"> </v>
      </c>
      <c r="N45" s="120"/>
      <c r="O45" s="123" t="s">
        <v>46</v>
      </c>
      <c r="P45" s="175" t="s">
        <v>131</v>
      </c>
      <c r="Q45" s="176"/>
      <c r="R45" s="86">
        <v>38</v>
      </c>
      <c r="S45" s="72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10"/>
      <c r="C46" s="211"/>
      <c r="D46" s="211"/>
      <c r="E46" s="211"/>
      <c r="F46" s="211"/>
      <c r="G46" s="211"/>
      <c r="H46" s="211"/>
      <c r="I46" s="211"/>
      <c r="J46" s="211"/>
      <c r="K46" s="212"/>
      <c r="L46" s="188"/>
      <c r="M46" s="99" t="str">
        <f>VLOOKUP(N46,Sheet1!$A$1:$B$93,2)</f>
        <v xml:space="preserve"> </v>
      </c>
      <c r="N46" s="100"/>
      <c r="O46" s="123" t="s">
        <v>133</v>
      </c>
      <c r="P46" s="175" t="s">
        <v>51</v>
      </c>
      <c r="Q46" s="176"/>
      <c r="R46" s="101">
        <v>39</v>
      </c>
      <c r="S46" s="72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45" t="s">
        <v>278</v>
      </c>
      <c r="C47" s="246"/>
      <c r="D47" s="246"/>
      <c r="E47" s="246"/>
      <c r="F47" s="246"/>
      <c r="G47" s="246"/>
      <c r="H47" s="246"/>
      <c r="I47" s="246"/>
      <c r="J47" s="246"/>
      <c r="K47" s="102" t="s">
        <v>181</v>
      </c>
      <c r="L47" s="190"/>
      <c r="M47" s="275">
        <f>VLOOKUP($U$7,'Nilai Tahriri'!$A$2:$AG$41,33,FALSE)</f>
        <v>165.4</v>
      </c>
      <c r="N47" s="276" t="e">
        <f>VLOOKUP($U$7,'Nilai Tahriri'!$A$2:$AG$41,41,FALSE)</f>
        <v>#REF!</v>
      </c>
      <c r="O47" s="276" t="e">
        <f>VLOOKUP($U$7,'Nilai Tahriri'!$A$2:$AG$41,41,FALSE)</f>
        <v>#REF!</v>
      </c>
      <c r="P47" s="214" t="s">
        <v>25</v>
      </c>
      <c r="Q47" s="214"/>
      <c r="R47" s="215"/>
      <c r="S47" s="72"/>
      <c r="T47" s="1"/>
      <c r="U47" s="1"/>
      <c r="V47" s="1"/>
      <c r="W47" s="1"/>
      <c r="X47" s="1"/>
      <c r="Y47" s="1"/>
      <c r="Z47" s="203"/>
      <c r="AA47" s="203"/>
      <c r="AB47" s="203"/>
    </row>
    <row r="48" spans="2:28" ht="8.25" customHeight="1"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4"/>
      <c r="M48" s="83"/>
      <c r="N48" s="105"/>
      <c r="O48" s="106"/>
      <c r="P48" s="98"/>
      <c r="Q48" s="98"/>
      <c r="R48" s="98"/>
      <c r="S48" s="72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107"/>
      <c r="C49" s="182"/>
      <c r="D49" s="182"/>
      <c r="E49" s="182"/>
      <c r="F49" s="182"/>
      <c r="G49" s="182"/>
      <c r="H49" s="182"/>
      <c r="I49" s="182"/>
      <c r="J49" s="182"/>
      <c r="K49" s="182"/>
      <c r="L49" s="108"/>
      <c r="M49" s="185" t="str">
        <f>Biodata!C13</f>
        <v>٠٩ من جمادى الآخر سنة ١٤٤٥ ه</v>
      </c>
      <c r="N49" s="185"/>
      <c r="O49" s="185"/>
      <c r="P49" s="185"/>
      <c r="Q49" s="263" t="s">
        <v>47</v>
      </c>
      <c r="R49" s="263"/>
      <c r="S49" s="72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107"/>
      <c r="C50" s="182"/>
      <c r="D50" s="182"/>
      <c r="E50" s="182"/>
      <c r="F50" s="182"/>
      <c r="G50" s="182"/>
      <c r="H50" s="182"/>
      <c r="I50" s="182"/>
      <c r="J50" s="182"/>
      <c r="K50" s="182"/>
      <c r="L50" s="108"/>
      <c r="M50" s="185" t="str">
        <f>Biodata!C14</f>
        <v>٢٢ من ديسمبر سنة ٢٠٢٣ م</v>
      </c>
      <c r="N50" s="185"/>
      <c r="O50" s="185"/>
      <c r="P50" s="185"/>
      <c r="Q50" s="263"/>
      <c r="R50" s="263"/>
      <c r="S50" s="72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107"/>
      <c r="C51" s="109"/>
      <c r="D51" s="109"/>
      <c r="E51" s="109"/>
      <c r="F51" s="109"/>
      <c r="G51" s="109"/>
      <c r="H51" s="109"/>
      <c r="I51" s="109"/>
      <c r="J51" s="109"/>
      <c r="K51" s="109"/>
      <c r="L51" s="110"/>
      <c r="M51" s="109"/>
      <c r="N51" s="111"/>
      <c r="O51" s="109"/>
      <c r="P51" s="109"/>
      <c r="Q51" s="109" t="s">
        <v>48</v>
      </c>
      <c r="R51" s="109"/>
      <c r="S51" s="72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53" t="s">
        <v>49</v>
      </c>
      <c r="C52" s="253"/>
      <c r="D52" s="253"/>
      <c r="E52" s="253"/>
      <c r="F52" s="253"/>
      <c r="G52" s="253"/>
      <c r="H52" s="253"/>
      <c r="I52" s="253"/>
      <c r="J52" s="253"/>
      <c r="K52" s="253"/>
      <c r="L52" s="108"/>
      <c r="M52" s="107"/>
      <c r="N52" s="113"/>
      <c r="O52" s="199" t="s">
        <v>50</v>
      </c>
      <c r="P52" s="199"/>
      <c r="Q52" s="199"/>
      <c r="R52" s="107"/>
      <c r="S52" s="72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112"/>
      <c r="C53" s="112"/>
      <c r="D53" s="112"/>
      <c r="E53" s="112"/>
      <c r="F53" s="112"/>
      <c r="G53" s="112"/>
      <c r="H53" s="112"/>
      <c r="I53" s="112"/>
      <c r="J53" s="112"/>
      <c r="K53" s="252" t="s">
        <v>158</v>
      </c>
      <c r="L53" s="252"/>
      <c r="M53" s="252"/>
      <c r="N53" s="252"/>
      <c r="O53" s="252"/>
      <c r="P53" s="108"/>
      <c r="Q53" s="108"/>
      <c r="R53" s="107"/>
      <c r="S53" s="72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O54" s="108"/>
      <c r="P54" s="108"/>
      <c r="Q54" s="108"/>
      <c r="R54" s="107"/>
      <c r="S54" s="72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08"/>
      <c r="M55" s="107"/>
      <c r="N55" s="113"/>
      <c r="O55" s="238" t="str">
        <f>Biodata!$C$19</f>
        <v xml:space="preserve">                                          </v>
      </c>
      <c r="P55" s="238"/>
      <c r="Q55" s="238"/>
      <c r="R55" s="107"/>
      <c r="S55" s="72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08"/>
      <c r="M56" s="107"/>
      <c r="N56" s="113"/>
      <c r="O56" s="115"/>
      <c r="P56" s="115"/>
      <c r="Q56" s="115"/>
      <c r="R56" s="107"/>
      <c r="S56" s="72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107"/>
      <c r="C57" s="116"/>
      <c r="D57" s="116"/>
      <c r="E57" s="116"/>
      <c r="F57" s="116"/>
      <c r="G57" s="116"/>
      <c r="H57" s="116"/>
      <c r="I57" s="116"/>
      <c r="J57" s="116"/>
      <c r="K57" s="165" t="str">
        <f>Biodata!$C$16</f>
        <v>الأستاذ شهاب المعي</v>
      </c>
      <c r="L57" s="165"/>
      <c r="M57" s="165"/>
      <c r="N57" s="165"/>
      <c r="O57" s="165"/>
      <c r="P57" s="116"/>
      <c r="Q57" s="116"/>
      <c r="R57" s="116"/>
      <c r="S57" s="72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48"/>
      <c r="C58" s="48"/>
      <c r="D58" s="48"/>
      <c r="E58" s="48"/>
      <c r="F58" s="48"/>
      <c r="G58" s="48"/>
      <c r="H58" s="48"/>
      <c r="I58" s="48"/>
      <c r="J58" s="48"/>
      <c r="L58" s="48"/>
      <c r="M58" s="48"/>
      <c r="N58" s="48"/>
      <c r="O58" s="48"/>
      <c r="P58" s="48"/>
      <c r="Q58" s="48"/>
      <c r="R58" s="48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50"/>
      <c r="M59" s="49"/>
      <c r="N59" s="51"/>
      <c r="O59" s="49"/>
      <c r="P59" s="49"/>
      <c r="Q59" s="49"/>
      <c r="R59" s="49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52"/>
      <c r="M60" s="1"/>
      <c r="N60" s="53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U2oZ4H0f3R7kwYXBSeBQQZK++bsaza4oEjctMWLKzEf1DhKA76KEauHrBZ+kS9qNrVMKmxKVnZ9TsKxqsrCQbA==" saltValue="nxrIUk3MTPhQwFfobM/PRQ==" spinCount="100000" sheet="1" selectLockedCells="1"/>
  <mergeCells count="142">
    <mergeCell ref="B2:L2"/>
    <mergeCell ref="Q49:R50"/>
    <mergeCell ref="K33:L33"/>
    <mergeCell ref="C50:E50"/>
    <mergeCell ref="P25:Q25"/>
    <mergeCell ref="G9:K9"/>
    <mergeCell ref="R5:R7"/>
    <mergeCell ref="M3:O3"/>
    <mergeCell ref="B5:K5"/>
    <mergeCell ref="P8:Q8"/>
    <mergeCell ref="O6:Q7"/>
    <mergeCell ref="M6:N6"/>
    <mergeCell ref="G6:K7"/>
    <mergeCell ref="L5:L7"/>
    <mergeCell ref="C7:F7"/>
    <mergeCell ref="P9:Q9"/>
    <mergeCell ref="B6:F6"/>
    <mergeCell ref="P3:R3"/>
    <mergeCell ref="C18:F18"/>
    <mergeCell ref="M47:O47"/>
    <mergeCell ref="G25:K25"/>
    <mergeCell ref="C29:F29"/>
    <mergeCell ref="B8:L8"/>
    <mergeCell ref="P19:Q19"/>
    <mergeCell ref="G14:J14"/>
    <mergeCell ref="P13:Q13"/>
    <mergeCell ref="P16:Q16"/>
    <mergeCell ref="B15:L15"/>
    <mergeCell ref="B3:L3"/>
    <mergeCell ref="C9:F9"/>
    <mergeCell ref="G11:J11"/>
    <mergeCell ref="C14:F14"/>
    <mergeCell ref="C17:F17"/>
    <mergeCell ref="G17:K17"/>
    <mergeCell ref="M5:Q5"/>
    <mergeCell ref="P11:Q11"/>
    <mergeCell ref="O55:Q55"/>
    <mergeCell ref="P24:Q24"/>
    <mergeCell ref="C11:F11"/>
    <mergeCell ref="G10:J10"/>
    <mergeCell ref="P23:Q23"/>
    <mergeCell ref="P27:Q27"/>
    <mergeCell ref="G13:J13"/>
    <mergeCell ref="C26:F26"/>
    <mergeCell ref="G29:K29"/>
    <mergeCell ref="G32:K32"/>
    <mergeCell ref="C20:F20"/>
    <mergeCell ref="B47:J47"/>
    <mergeCell ref="C13:F13"/>
    <mergeCell ref="G31:K31"/>
    <mergeCell ref="C32:F32"/>
    <mergeCell ref="G24:K24"/>
    <mergeCell ref="G27:K27"/>
    <mergeCell ref="G26:J26"/>
    <mergeCell ref="B28:L28"/>
    <mergeCell ref="K53:O53"/>
    <mergeCell ref="G30:K30"/>
    <mergeCell ref="C31:F31"/>
    <mergeCell ref="B52:K52"/>
    <mergeCell ref="B38:K38"/>
    <mergeCell ref="F50:G50"/>
    <mergeCell ref="P43:Q43"/>
    <mergeCell ref="B36:C36"/>
    <mergeCell ref="M49:P49"/>
    <mergeCell ref="B42:C43"/>
    <mergeCell ref="P41:Q41"/>
    <mergeCell ref="P44:Q44"/>
    <mergeCell ref="D42:J43"/>
    <mergeCell ref="K42:K43"/>
    <mergeCell ref="D40:J40"/>
    <mergeCell ref="H50:K50"/>
    <mergeCell ref="D41:K41"/>
    <mergeCell ref="F49:G49"/>
    <mergeCell ref="P42:Q42"/>
    <mergeCell ref="P46:Q46"/>
    <mergeCell ref="O52:Q52"/>
    <mergeCell ref="C12:F12"/>
    <mergeCell ref="G12:J12"/>
    <mergeCell ref="P12:Q12"/>
    <mergeCell ref="C10:F10"/>
    <mergeCell ref="P10:Q10"/>
    <mergeCell ref="V44:X44"/>
    <mergeCell ref="Z47:AB47"/>
    <mergeCell ref="C24:F24"/>
    <mergeCell ref="G20:K20"/>
    <mergeCell ref="C23:F23"/>
    <mergeCell ref="G19:K19"/>
    <mergeCell ref="P14:Q14"/>
    <mergeCell ref="B35:K35"/>
    <mergeCell ref="B45:K46"/>
    <mergeCell ref="C27:F27"/>
    <mergeCell ref="P45:Q45"/>
    <mergeCell ref="P47:R47"/>
    <mergeCell ref="B21:L21"/>
    <mergeCell ref="G18:K18"/>
    <mergeCell ref="U9:U10"/>
    <mergeCell ref="B34:K34"/>
    <mergeCell ref="U11:U12"/>
    <mergeCell ref="P36:Q36"/>
    <mergeCell ref="P29:Q29"/>
    <mergeCell ref="B33:J33"/>
    <mergeCell ref="G23:K23"/>
    <mergeCell ref="P22:Q22"/>
    <mergeCell ref="P21:Q21"/>
    <mergeCell ref="P38:Q38"/>
    <mergeCell ref="P37:Q37"/>
    <mergeCell ref="C16:F16"/>
    <mergeCell ref="P39:Q39"/>
    <mergeCell ref="B37:C37"/>
    <mergeCell ref="P20:Q20"/>
    <mergeCell ref="P17:Q17"/>
    <mergeCell ref="P30:Q30"/>
    <mergeCell ref="P28:Q28"/>
    <mergeCell ref="D36:J36"/>
    <mergeCell ref="B39:C39"/>
    <mergeCell ref="D39:J39"/>
    <mergeCell ref="C25:F25"/>
    <mergeCell ref="P18:Q18"/>
    <mergeCell ref="K57:O57"/>
    <mergeCell ref="C19:F19"/>
    <mergeCell ref="B41:C41"/>
    <mergeCell ref="B40:C40"/>
    <mergeCell ref="V9:V10"/>
    <mergeCell ref="C22:F22"/>
    <mergeCell ref="P35:Q35"/>
    <mergeCell ref="P15:Q15"/>
    <mergeCell ref="G16:K16"/>
    <mergeCell ref="G22:K22"/>
    <mergeCell ref="P26:Q26"/>
    <mergeCell ref="C30:F30"/>
    <mergeCell ref="H49:K49"/>
    <mergeCell ref="P40:Q40"/>
    <mergeCell ref="B44:K44"/>
    <mergeCell ref="M50:P50"/>
    <mergeCell ref="D37:J37"/>
    <mergeCell ref="L34:L47"/>
    <mergeCell ref="C49:E49"/>
    <mergeCell ref="P34:Q34"/>
    <mergeCell ref="P33:Q33"/>
    <mergeCell ref="P32:Q32"/>
    <mergeCell ref="V11:V12"/>
    <mergeCell ref="P31:Q31"/>
  </mergeCells>
  <pageMargins left="7.95717592592593E-2" right="4.3402777777777797E-2" top="0.16762452107279693" bottom="0.16762452107279693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5</xdr:row>
                    <xdr:rowOff>0</xdr:rowOff>
                  </from>
                  <to>
                    <xdr:col>21</xdr:col>
                    <xdr:colOff>584200</xdr:colOff>
                    <xdr:row>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4" zoomScaleNormal="100" workbookViewId="0">
      <selection activeCell="A6" sqref="A6:F15"/>
    </sheetView>
  </sheetViews>
  <sheetFormatPr defaultColWidth="8.7265625" defaultRowHeight="14.5"/>
  <cols>
    <col min="1" max="1" width="5.26953125" style="59" customWidth="1"/>
    <col min="2" max="2" width="30.54296875" style="66" customWidth="1"/>
    <col min="3" max="3" width="8.7265625" style="59"/>
    <col min="4" max="4" width="11.26953125" style="59" bestFit="1" customWidth="1"/>
    <col min="5" max="5" width="13.81640625" style="69" bestFit="1" customWidth="1"/>
    <col min="6" max="6" width="9.1796875" style="69" bestFit="1" customWidth="1"/>
    <col min="7" max="7" width="10.7265625" style="59" bestFit="1" customWidth="1"/>
    <col min="8" max="16384" width="8.7265625" style="59"/>
  </cols>
  <sheetData>
    <row r="1" spans="1:7" ht="17.5">
      <c r="A1" s="277" t="s">
        <v>170</v>
      </c>
      <c r="B1" s="277"/>
      <c r="C1" s="277"/>
      <c r="D1" s="277"/>
      <c r="E1" s="277"/>
      <c r="F1" s="277"/>
      <c r="G1" s="277"/>
    </row>
    <row r="2" spans="1:7" ht="6" customHeight="1">
      <c r="A2" s="58"/>
      <c r="B2" s="60"/>
      <c r="C2" s="58"/>
      <c r="D2" s="58"/>
      <c r="E2" s="58"/>
      <c r="F2" s="58"/>
      <c r="G2" s="58"/>
    </row>
    <row r="3" spans="1:7" ht="17.5">
      <c r="A3" s="278" t="str">
        <f>Biodata!C4</f>
        <v>الرابع ج للبنات</v>
      </c>
      <c r="B3" s="278"/>
      <c r="C3" s="278"/>
      <c r="D3" s="278"/>
      <c r="E3" s="278"/>
      <c r="F3" s="278"/>
      <c r="G3" s="278"/>
    </row>
    <row r="5" spans="1:7" ht="22" customHeight="1">
      <c r="A5" s="61" t="s">
        <v>73</v>
      </c>
      <c r="B5" s="61" t="s">
        <v>165</v>
      </c>
      <c r="C5" s="61" t="s">
        <v>52</v>
      </c>
      <c r="D5" s="61" t="s">
        <v>75</v>
      </c>
      <c r="E5" s="61" t="s">
        <v>168</v>
      </c>
      <c r="F5" s="61" t="s">
        <v>169</v>
      </c>
      <c r="G5" s="61" t="s">
        <v>167</v>
      </c>
    </row>
    <row r="6" spans="1:7" ht="18" customHeight="1">
      <c r="A6" s="62">
        <v>1</v>
      </c>
      <c r="B6" s="70" t="str">
        <f>'Data Siswa'!B30</f>
        <v>ZAKIA MANILOKA</v>
      </c>
      <c r="C6" s="62" t="str">
        <f>'Data Siswa'!C30</f>
        <v>1125</v>
      </c>
      <c r="D6" s="63">
        <f>'Nilai Syafahi'!W32</f>
        <v>297.10000000000002</v>
      </c>
      <c r="E6" s="64">
        <f>'Nilai Syafahi'!X32</f>
        <v>7.0738095238095244</v>
      </c>
      <c r="F6" s="65">
        <f ca="1">'Nilai Syafahi'!Y32</f>
        <v>1</v>
      </c>
      <c r="G6" s="65" t="str">
        <f>'Nilai Syafahi'!Z32</f>
        <v>-</v>
      </c>
    </row>
    <row r="7" spans="1:7" ht="18" customHeight="1">
      <c r="A7" s="62">
        <v>2</v>
      </c>
      <c r="B7" s="70" t="str">
        <f>'Data Siswa'!B27</f>
        <v>VIVI AULIA</v>
      </c>
      <c r="C7" s="62" t="str">
        <f>'Data Siswa'!C27</f>
        <v>1122</v>
      </c>
      <c r="D7" s="63">
        <f>'Nilai Syafahi'!W29</f>
        <v>293.3</v>
      </c>
      <c r="E7" s="64">
        <f>'Nilai Syafahi'!X29</f>
        <v>6.9833333333333334</v>
      </c>
      <c r="F7" s="65">
        <f ca="1">'Nilai Syafahi'!Y29</f>
        <v>2</v>
      </c>
      <c r="G7" s="65" t="str">
        <f>'Nilai Syafahi'!Z29</f>
        <v>-</v>
      </c>
    </row>
    <row r="8" spans="1:7" ht="18" customHeight="1">
      <c r="A8" s="62">
        <v>3</v>
      </c>
      <c r="B8" s="70" t="str">
        <f>'Data Siswa'!B24</f>
        <v>SOFWA SALSABILA</v>
      </c>
      <c r="C8" s="62" t="str">
        <f>'Data Siswa'!C24</f>
        <v>1119</v>
      </c>
      <c r="D8" s="63">
        <f>'Nilai Syafahi'!W26</f>
        <v>290.39999999999998</v>
      </c>
      <c r="E8" s="64">
        <f>'Nilai Syafahi'!X26</f>
        <v>6.9142857142857137</v>
      </c>
      <c r="F8" s="65">
        <f ca="1">'Nilai Syafahi'!Y26</f>
        <v>3</v>
      </c>
      <c r="G8" s="65" t="str">
        <f>'Nilai Syafahi'!Z26</f>
        <v>-</v>
      </c>
    </row>
    <row r="9" spans="1:7" ht="18" customHeight="1">
      <c r="A9" s="62">
        <v>4</v>
      </c>
      <c r="B9" s="70" t="str">
        <f>'Data Siswa'!B8</f>
        <v>EVI OKTAVIANI</v>
      </c>
      <c r="C9" s="62" t="str">
        <f>'Data Siswa'!C8</f>
        <v>1103</v>
      </c>
      <c r="D9" s="63">
        <f>'Nilai Syafahi'!W10</f>
        <v>278.3</v>
      </c>
      <c r="E9" s="64">
        <f>'Nilai Syafahi'!X10</f>
        <v>6.6261904761904766</v>
      </c>
      <c r="F9" s="65">
        <f ca="1">'Nilai Syafahi'!Y10</f>
        <v>4</v>
      </c>
      <c r="G9" s="65" t="str">
        <f>'Nilai Syafahi'!Z10</f>
        <v>-</v>
      </c>
    </row>
    <row r="10" spans="1:7" ht="18" customHeight="1">
      <c r="A10" s="62">
        <v>5</v>
      </c>
      <c r="B10" s="70" t="str">
        <f>'Data Siswa'!B28</f>
        <v>ZAHRA CITRA AGUSTIN</v>
      </c>
      <c r="C10" s="62" t="str">
        <f>'Data Siswa'!C28</f>
        <v>1123</v>
      </c>
      <c r="D10" s="63">
        <f>'Nilai Syafahi'!W30</f>
        <v>277.10000000000002</v>
      </c>
      <c r="E10" s="64">
        <f>'Nilai Syafahi'!X30</f>
        <v>6.5976190476190482</v>
      </c>
      <c r="F10" s="65">
        <f ca="1">'Nilai Syafahi'!Y30</f>
        <v>5</v>
      </c>
      <c r="G10" s="65" t="str">
        <f>'Nilai Syafahi'!Z30</f>
        <v>-</v>
      </c>
    </row>
    <row r="11" spans="1:7" ht="18" customHeight="1">
      <c r="A11" s="62">
        <v>6</v>
      </c>
      <c r="B11" s="70" t="str">
        <f>'Data Siswa'!B14</f>
        <v>NURUL ANNISA HARAHAP</v>
      </c>
      <c r="C11" s="62" t="str">
        <f>'Data Siswa'!C14</f>
        <v>1109</v>
      </c>
      <c r="D11" s="63">
        <f>'Nilai Syafahi'!W16</f>
        <v>274</v>
      </c>
      <c r="E11" s="64">
        <f>'Nilai Syafahi'!X16</f>
        <v>6.5238095238095237</v>
      </c>
      <c r="F11" s="65">
        <f ca="1">'Nilai Syafahi'!Y16</f>
        <v>6</v>
      </c>
      <c r="G11" s="65" t="str">
        <f>'Nilai Syafahi'!Z16</f>
        <v>-</v>
      </c>
    </row>
    <row r="12" spans="1:7" ht="18" customHeight="1">
      <c r="A12" s="62">
        <v>7</v>
      </c>
      <c r="B12" s="70" t="str">
        <f>'Data Siswa'!B29</f>
        <v>ZAHROTUL SYIFA</v>
      </c>
      <c r="C12" s="62" t="str">
        <f>'Data Siswa'!C29</f>
        <v>1124</v>
      </c>
      <c r="D12" s="63">
        <f>'Nilai Syafahi'!W31</f>
        <v>270.70000000000005</v>
      </c>
      <c r="E12" s="64">
        <f>'Nilai Syafahi'!X31</f>
        <v>6.4452380952380963</v>
      </c>
      <c r="F12" s="65">
        <f ca="1">'Nilai Syafahi'!Y31</f>
        <v>7</v>
      </c>
      <c r="G12" s="65" t="str">
        <f>'Nilai Syafahi'!Z31</f>
        <v>-</v>
      </c>
    </row>
    <row r="13" spans="1:7" ht="18" customHeight="1">
      <c r="A13" s="62">
        <v>8</v>
      </c>
      <c r="B13" s="70" t="str">
        <f>'Data Siswa'!B19</f>
        <v>RUFAIDAH AZZAHRA</v>
      </c>
      <c r="C13" s="62" t="str">
        <f>'Data Siswa'!C19</f>
        <v>1114</v>
      </c>
      <c r="D13" s="63">
        <f>'Nilai Syafahi'!W21</f>
        <v>269</v>
      </c>
      <c r="E13" s="64">
        <f>'Nilai Syafahi'!X21</f>
        <v>6.4047619047619051</v>
      </c>
      <c r="F13" s="65">
        <f ca="1">'Nilai Syafahi'!Y21</f>
        <v>8</v>
      </c>
      <c r="G13" s="65" t="str">
        <f>'Nilai Syafahi'!Z21</f>
        <v>-</v>
      </c>
    </row>
    <row r="14" spans="1:7" ht="18" customHeight="1">
      <c r="A14" s="62">
        <v>9</v>
      </c>
      <c r="B14" s="70" t="str">
        <f>'Data Siswa'!B31</f>
        <v>ZASKIA ANANTA PAMBUDI</v>
      </c>
      <c r="C14" s="62" t="str">
        <f>'Data Siswa'!C31</f>
        <v>1126</v>
      </c>
      <c r="D14" s="63">
        <f>'Nilai Syafahi'!W33</f>
        <v>263.39999999999998</v>
      </c>
      <c r="E14" s="64">
        <f>'Nilai Syafahi'!X33</f>
        <v>6.2714285714285705</v>
      </c>
      <c r="F14" s="65">
        <f ca="1">'Nilai Syafahi'!Y33</f>
        <v>9</v>
      </c>
      <c r="G14" s="65" t="str">
        <f>'Nilai Syafahi'!Z33</f>
        <v>-</v>
      </c>
    </row>
    <row r="15" spans="1:7" ht="18" customHeight="1">
      <c r="A15" s="62">
        <v>10</v>
      </c>
      <c r="B15" s="70" t="str">
        <f>'Data Siswa'!B7</f>
        <v>DINA LAURA</v>
      </c>
      <c r="C15" s="62" t="str">
        <f>'Data Siswa'!C7</f>
        <v>1102</v>
      </c>
      <c r="D15" s="63">
        <f>'Nilai Syafahi'!W9</f>
        <v>261.2</v>
      </c>
      <c r="E15" s="64">
        <f>'Nilai Syafahi'!X9</f>
        <v>6.2190476190476192</v>
      </c>
      <c r="F15" s="65">
        <f ca="1">'Nilai Syafahi'!Y9</f>
        <v>10</v>
      </c>
      <c r="G15" s="65" t="str">
        <f>'Nilai Syafahi'!Z9</f>
        <v>-</v>
      </c>
    </row>
    <row r="16" spans="1:7" ht="18" customHeight="1">
      <c r="A16" s="62">
        <v>11</v>
      </c>
      <c r="B16" s="70" t="str">
        <f>'Data Siswa'!B13</f>
        <v>NAILA SEPTIANI</v>
      </c>
      <c r="C16" s="62" t="str">
        <f>'Data Siswa'!C13</f>
        <v>1108</v>
      </c>
      <c r="D16" s="63">
        <f>'Nilai Syafahi'!W15</f>
        <v>255</v>
      </c>
      <c r="E16" s="64">
        <f>'Nilai Syafahi'!X15</f>
        <v>6.0714285714285712</v>
      </c>
      <c r="F16" s="65">
        <f ca="1">'Nilai Syafahi'!Y15</f>
        <v>11</v>
      </c>
      <c r="G16" s="65" t="str">
        <f>'Nilai Syafahi'!Z15</f>
        <v>-</v>
      </c>
    </row>
    <row r="17" spans="1:7" ht="18" customHeight="1">
      <c r="A17" s="62">
        <v>12</v>
      </c>
      <c r="B17" s="70" t="str">
        <f>'Data Siswa'!B23</f>
        <v>SITI ZAHROTUL UYUN</v>
      </c>
      <c r="C17" s="62" t="str">
        <f>'Data Siswa'!C23</f>
        <v>1118</v>
      </c>
      <c r="D17" s="63">
        <f>'Nilai Syafahi'!W25</f>
        <v>255</v>
      </c>
      <c r="E17" s="64">
        <f>'Nilai Syafahi'!X25</f>
        <v>6.0714285714285712</v>
      </c>
      <c r="F17" s="65">
        <f ca="1">'Nilai Syafahi'!Y25</f>
        <v>11</v>
      </c>
      <c r="G17" s="65" t="str">
        <f>'Nilai Syafahi'!Z25</f>
        <v>-</v>
      </c>
    </row>
    <row r="18" spans="1:7" ht="18" customHeight="1">
      <c r="A18" s="62">
        <v>13</v>
      </c>
      <c r="B18" s="70" t="str">
        <f>'Data Siswa'!B18</f>
        <v>RONA IMRONA</v>
      </c>
      <c r="C18" s="62" t="str">
        <f>'Data Siswa'!C18</f>
        <v>1113</v>
      </c>
      <c r="D18" s="63">
        <f>'Nilai Syafahi'!W20</f>
        <v>252.6</v>
      </c>
      <c r="E18" s="64">
        <f>'Nilai Syafahi'!X20</f>
        <v>6.0142857142857142</v>
      </c>
      <c r="F18" s="65">
        <f ca="1">'Nilai Syafahi'!Y20</f>
        <v>12</v>
      </c>
      <c r="G18" s="65" t="str">
        <f>'Nilai Syafahi'!Z20</f>
        <v>-</v>
      </c>
    </row>
    <row r="19" spans="1:7" ht="18" customHeight="1">
      <c r="A19" s="62">
        <v>14</v>
      </c>
      <c r="B19" s="70" t="str">
        <f>'Data Siswa'!B21</f>
        <v>SITI KHORIAH</v>
      </c>
      <c r="C19" s="62" t="str">
        <f>'Data Siswa'!C21</f>
        <v>1116</v>
      </c>
      <c r="D19" s="63">
        <f>'Nilai Syafahi'!W23</f>
        <v>250.1</v>
      </c>
      <c r="E19" s="64">
        <f>'Nilai Syafahi'!X23</f>
        <v>5.9547619047619049</v>
      </c>
      <c r="F19" s="65">
        <f ca="1">'Nilai Syafahi'!Y23</f>
        <v>13</v>
      </c>
      <c r="G19" s="65" t="str">
        <f>'Nilai Syafahi'!Z23</f>
        <v>-</v>
      </c>
    </row>
    <row r="20" spans="1:7" ht="18" customHeight="1">
      <c r="A20" s="62">
        <v>15</v>
      </c>
      <c r="B20" s="70" t="str">
        <f>'Data Siswa'!B15</f>
        <v>RATU NUR ERISYA RADESTA</v>
      </c>
      <c r="C20" s="62" t="str">
        <f>'Data Siswa'!C15</f>
        <v>1110</v>
      </c>
      <c r="D20" s="63">
        <f>'Nilai Syafahi'!W17</f>
        <v>247.79999999999998</v>
      </c>
      <c r="E20" s="64">
        <f>'Nilai Syafahi'!X17</f>
        <v>5.8999999999999995</v>
      </c>
      <c r="F20" s="65">
        <f ca="1">'Nilai Syafahi'!Y17</f>
        <v>14</v>
      </c>
      <c r="G20" s="65" t="str">
        <f>'Nilai Syafahi'!Z17</f>
        <v>-</v>
      </c>
    </row>
    <row r="21" spans="1:7" ht="18" customHeight="1">
      <c r="A21" s="62">
        <v>16</v>
      </c>
      <c r="B21" s="70" t="str">
        <f>'Data Siswa'!B26</f>
        <v>VERA FEBRIANTI</v>
      </c>
      <c r="C21" s="62" t="str">
        <f>'Data Siswa'!C26</f>
        <v>1121</v>
      </c>
      <c r="D21" s="63">
        <f>'Nilai Syafahi'!W28</f>
        <v>243.5</v>
      </c>
      <c r="E21" s="64">
        <f>'Nilai Syafahi'!X28</f>
        <v>5.7976190476190474</v>
      </c>
      <c r="F21" s="65">
        <f ca="1">'Nilai Syafahi'!Y28</f>
        <v>15</v>
      </c>
      <c r="G21" s="65" t="str">
        <f>'Nilai Syafahi'!Z28</f>
        <v>-</v>
      </c>
    </row>
    <row r="22" spans="1:7" ht="18" customHeight="1">
      <c r="A22" s="62">
        <v>17</v>
      </c>
      <c r="B22" s="70" t="str">
        <f>'Data Siswa'!B5</f>
        <v>AYU FITRI RAMADHANI</v>
      </c>
      <c r="C22" s="62" t="str">
        <f>'Data Siswa'!C5</f>
        <v>1100</v>
      </c>
      <c r="D22" s="63">
        <f>'Nilai Syafahi'!W7</f>
        <v>243.4</v>
      </c>
      <c r="E22" s="64">
        <f>'Nilai Syafahi'!X7</f>
        <v>5.7952380952380951</v>
      </c>
      <c r="F22" s="65">
        <f ca="1">'Nilai Syafahi'!Y7</f>
        <v>16</v>
      </c>
      <c r="G22" s="65" t="str">
        <f>'Nilai Syafahi'!Z7</f>
        <v>-</v>
      </c>
    </row>
    <row r="23" spans="1:7" ht="18" customHeight="1">
      <c r="A23" s="62">
        <v>18</v>
      </c>
      <c r="B23" s="70" t="str">
        <f>'Data Siswa'!B10</f>
        <v>MAR'AH AINUN NABILAH</v>
      </c>
      <c r="C23" s="62" t="str">
        <f>'Data Siswa'!C10</f>
        <v>1105</v>
      </c>
      <c r="D23" s="63">
        <f>'Nilai Syafahi'!W12</f>
        <v>243</v>
      </c>
      <c r="E23" s="64">
        <f>'Nilai Syafahi'!X12</f>
        <v>5.7857142857142847</v>
      </c>
      <c r="F23" s="65">
        <f ca="1">'Nilai Syafahi'!Y12</f>
        <v>17</v>
      </c>
      <c r="G23" s="65" t="str">
        <f>'Nilai Syafahi'!Z12</f>
        <v>-</v>
      </c>
    </row>
    <row r="24" spans="1:7" ht="18" customHeight="1">
      <c r="A24" s="62">
        <v>19</v>
      </c>
      <c r="B24" s="70" t="str">
        <f>'Data Siswa'!B11</f>
        <v>MUTIARA INDAH PRATIWI</v>
      </c>
      <c r="C24" s="62" t="str">
        <f>'Data Siswa'!C11</f>
        <v>1106</v>
      </c>
      <c r="D24" s="63">
        <f>'Nilai Syafahi'!W13</f>
        <v>242.79999999999998</v>
      </c>
      <c r="E24" s="64">
        <f>'Nilai Syafahi'!X13</f>
        <v>5.7809523809523808</v>
      </c>
      <c r="F24" s="65">
        <f ca="1">'Nilai Syafahi'!Y13</f>
        <v>18</v>
      </c>
      <c r="G24" s="65" t="str">
        <f>'Nilai Syafahi'!Z13</f>
        <v>-</v>
      </c>
    </row>
    <row r="25" spans="1:7" ht="18" customHeight="1">
      <c r="A25" s="62">
        <v>20</v>
      </c>
      <c r="B25" s="70" t="str">
        <f>'Data Siswa'!B16</f>
        <v>RISMA YANTI MAESARAH</v>
      </c>
      <c r="C25" s="62" t="str">
        <f>'Data Siswa'!C16</f>
        <v>1111</v>
      </c>
      <c r="D25" s="63">
        <f>'Nilai Syafahi'!W18</f>
        <v>240.6</v>
      </c>
      <c r="E25" s="64">
        <f>'Nilai Syafahi'!X18</f>
        <v>5.7285714285714278</v>
      </c>
      <c r="F25" s="65">
        <f ca="1">'Nilai Syafahi'!Y18</f>
        <v>19</v>
      </c>
      <c r="G25" s="65" t="str">
        <f>'Nilai Syafahi'!Z18</f>
        <v>-</v>
      </c>
    </row>
    <row r="26" spans="1:7" ht="18" customHeight="1">
      <c r="A26" s="62">
        <v>21</v>
      </c>
      <c r="B26" s="70" t="str">
        <f>'Data Siswa'!B25</f>
        <v>SULISTIA NINGSIH</v>
      </c>
      <c r="C26" s="62" t="str">
        <f>'Data Siswa'!C25</f>
        <v>1120</v>
      </c>
      <c r="D26" s="63">
        <f>'Nilai Syafahi'!W27</f>
        <v>240.4</v>
      </c>
      <c r="E26" s="64">
        <f>'Nilai Syafahi'!X27</f>
        <v>5.7238095238095239</v>
      </c>
      <c r="F26" s="65">
        <f ca="1">'Nilai Syafahi'!Y27</f>
        <v>20</v>
      </c>
      <c r="G26" s="65" t="str">
        <f>'Nilai Syafahi'!Z27</f>
        <v>-</v>
      </c>
    </row>
    <row r="27" spans="1:7" ht="18" customHeight="1">
      <c r="A27" s="62">
        <v>22</v>
      </c>
      <c r="B27" s="70" t="str">
        <f>'Data Siswa'!B20</f>
        <v>SALWA JUHRATUNISA</v>
      </c>
      <c r="C27" s="62" t="str">
        <f>'Data Siswa'!C20</f>
        <v>1115</v>
      </c>
      <c r="D27" s="63">
        <f>'Nilai Syafahi'!W22</f>
        <v>240</v>
      </c>
      <c r="E27" s="64">
        <f>'Nilai Syafahi'!X22</f>
        <v>5.7142857142857144</v>
      </c>
      <c r="F27" s="65">
        <f ca="1">'Nilai Syafahi'!Y22</f>
        <v>21</v>
      </c>
      <c r="G27" s="65" t="str">
        <f>'Nilai Syafahi'!Z22</f>
        <v>-</v>
      </c>
    </row>
    <row r="28" spans="1:7" ht="18" customHeight="1">
      <c r="A28" s="62">
        <v>23</v>
      </c>
      <c r="B28" s="70" t="str">
        <f>'Data Siswa'!B9</f>
        <v>INDAH MAELANI</v>
      </c>
      <c r="C28" s="62" t="str">
        <f>'Data Siswa'!C9</f>
        <v>1104</v>
      </c>
      <c r="D28" s="63">
        <f>'Nilai Syafahi'!W11</f>
        <v>239.70000000000002</v>
      </c>
      <c r="E28" s="64">
        <f>'Nilai Syafahi'!X11</f>
        <v>5.7071428571428573</v>
      </c>
      <c r="F28" s="65">
        <f ca="1">'Nilai Syafahi'!Y11</f>
        <v>22</v>
      </c>
      <c r="G28" s="65" t="str">
        <f>'Nilai Syafahi'!Z11</f>
        <v>-</v>
      </c>
    </row>
    <row r="29" spans="1:7" ht="18" customHeight="1">
      <c r="A29" s="62">
        <v>24</v>
      </c>
      <c r="B29" s="70" t="str">
        <f>'Data Siswa'!B17</f>
        <v>RIZKA KAMILATUL ULYA</v>
      </c>
      <c r="C29" s="62" t="str">
        <f>'Data Siswa'!C17</f>
        <v>1112</v>
      </c>
      <c r="D29" s="63">
        <f>'Nilai Syafahi'!W19</f>
        <v>238.89999999999998</v>
      </c>
      <c r="E29" s="64">
        <f>'Nilai Syafahi'!X19</f>
        <v>5.6880952380952383</v>
      </c>
      <c r="F29" s="65">
        <f ca="1">'Nilai Syafahi'!Y19</f>
        <v>23</v>
      </c>
      <c r="G29" s="65" t="str">
        <f>'Nilai Syafahi'!Z19</f>
        <v>-</v>
      </c>
    </row>
    <row r="30" spans="1:7" ht="18" customHeight="1">
      <c r="A30" s="62">
        <v>25</v>
      </c>
      <c r="B30" s="70" t="str">
        <f>'Data Siswa'!B12</f>
        <v>NAILA RIZKI ARABELA</v>
      </c>
      <c r="C30" s="62" t="str">
        <f>'Data Siswa'!C12</f>
        <v>1107</v>
      </c>
      <c r="D30" s="63">
        <f>'Nilai Syafahi'!W14</f>
        <v>238.4</v>
      </c>
      <c r="E30" s="64">
        <f>'Nilai Syafahi'!X14</f>
        <v>5.6761904761904756</v>
      </c>
      <c r="F30" s="65">
        <f ca="1">'Nilai Syafahi'!Y14</f>
        <v>24</v>
      </c>
      <c r="G30" s="65" t="str">
        <f>'Nilai Syafahi'!Z14</f>
        <v>-</v>
      </c>
    </row>
    <row r="31" spans="1:7" ht="18" customHeight="1">
      <c r="A31" s="62">
        <v>26</v>
      </c>
      <c r="B31" s="70" t="str">
        <f>'Data Siswa'!B2</f>
        <v>ALIFA RIZKIYAH</v>
      </c>
      <c r="C31" s="62" t="str">
        <f>'Data Siswa'!C2</f>
        <v>1097</v>
      </c>
      <c r="D31" s="63">
        <f>'Nilai Syafahi'!W4</f>
        <v>236.1</v>
      </c>
      <c r="E31" s="64">
        <f>'Nilai Syafahi'!X4</f>
        <v>5.6214285714285719</v>
      </c>
      <c r="F31" s="65">
        <f ca="1">'Nilai Syafahi'!Y4</f>
        <v>25</v>
      </c>
      <c r="G31" s="65" t="str">
        <f>'Nilai Syafahi'!Z4</f>
        <v>-</v>
      </c>
    </row>
    <row r="32" spans="1:7" ht="18" customHeight="1">
      <c r="A32" s="62">
        <v>27</v>
      </c>
      <c r="B32" s="70" t="str">
        <f>'Data Siswa'!B6</f>
        <v>BUNGA AULIA</v>
      </c>
      <c r="C32" s="62" t="str">
        <f>'Data Siswa'!C6</f>
        <v>1101</v>
      </c>
      <c r="D32" s="63">
        <f>'Nilai Syafahi'!W8</f>
        <v>231.10000000000002</v>
      </c>
      <c r="E32" s="64">
        <f>'Nilai Syafahi'!X8</f>
        <v>5.5023809523809524</v>
      </c>
      <c r="F32" s="65">
        <f ca="1">'Nilai Syafahi'!Y8</f>
        <v>26</v>
      </c>
      <c r="G32" s="65" t="str">
        <f>'Nilai Syafahi'!Z8</f>
        <v>-</v>
      </c>
    </row>
    <row r="33" spans="1:7" ht="18" customHeight="1">
      <c r="A33" s="62">
        <v>28</v>
      </c>
      <c r="B33" s="70" t="str">
        <f>'Data Siswa'!B4</f>
        <v>ATHIRA PUTRI TAZKIAH</v>
      </c>
      <c r="C33" s="62" t="str">
        <f>'Data Siswa'!C4</f>
        <v>1099</v>
      </c>
      <c r="D33" s="63">
        <f>'Nilai Syafahi'!W6</f>
        <v>223.7</v>
      </c>
      <c r="E33" s="64">
        <f>'Nilai Syafahi'!X6</f>
        <v>6.0459459459459461</v>
      </c>
      <c r="F33" s="65">
        <f ca="1">'Nilai Syafahi'!Y6</f>
        <v>27</v>
      </c>
      <c r="G33" s="65" t="str">
        <f>'Nilai Syafahi'!Z6</f>
        <v>-</v>
      </c>
    </row>
    <row r="34" spans="1:7" ht="18" customHeight="1">
      <c r="A34" s="62">
        <v>29</v>
      </c>
      <c r="B34" s="70" t="str">
        <f>'Data Siswa'!B22</f>
        <v>SITI MAESAROH</v>
      </c>
      <c r="C34" s="62" t="str">
        <f>'Data Siswa'!C22</f>
        <v>1117</v>
      </c>
      <c r="D34" s="63">
        <f>'Nilai Syafahi'!W24</f>
        <v>223.5</v>
      </c>
      <c r="E34" s="64">
        <f>'Nilai Syafahi'!X24</f>
        <v>5.3214285714285721</v>
      </c>
      <c r="F34" s="65">
        <f ca="1">'Nilai Syafahi'!Y24</f>
        <v>28</v>
      </c>
      <c r="G34" s="65" t="str">
        <f>'Nilai Syafahi'!Z24</f>
        <v>-</v>
      </c>
    </row>
    <row r="35" spans="1:7" ht="18" customHeight="1">
      <c r="A35" s="62">
        <v>30</v>
      </c>
      <c r="B35" s="70" t="str">
        <f>'Data Siswa'!B3</f>
        <v xml:space="preserve">ASSYIFA RAHMAWATI  </v>
      </c>
      <c r="C35" s="62" t="str">
        <f>'Data Siswa'!C3</f>
        <v>1098</v>
      </c>
      <c r="D35" s="63">
        <f>'Nilai Syafahi'!W5</f>
        <v>192</v>
      </c>
      <c r="E35" s="64">
        <f>'Nilai Syafahi'!X5</f>
        <v>5.8181818181818183</v>
      </c>
      <c r="F35" s="65">
        <f ca="1">'Nilai Syafahi'!Y5</f>
        <v>29</v>
      </c>
      <c r="G35" s="65" t="str">
        <f>'Nilai Syafahi'!Z5</f>
        <v>-</v>
      </c>
    </row>
    <row r="36" spans="1:7" ht="18" customHeight="1">
      <c r="A36" s="62">
        <v>31</v>
      </c>
      <c r="B36" s="70">
        <f>'Data Siswa'!B32</f>
        <v>0</v>
      </c>
      <c r="C36" s="62">
        <f>'Data Siswa'!C32</f>
        <v>0</v>
      </c>
      <c r="D36" s="63">
        <f>'Nilai Syafahi'!W34</f>
        <v>0</v>
      </c>
      <c r="E36" s="64" t="e">
        <f>'Nilai Syafahi'!X34</f>
        <v>#DIV/0!</v>
      </c>
      <c r="F36" s="65">
        <f ca="1">'Nilai Syafahi'!Y34</f>
        <v>30</v>
      </c>
      <c r="G36" s="65" t="str">
        <f>'Nilai Syafahi'!Z34</f>
        <v>-</v>
      </c>
    </row>
    <row r="37" spans="1:7" ht="18" customHeight="1">
      <c r="A37" s="62">
        <v>32</v>
      </c>
      <c r="B37" s="70">
        <f>'Data Siswa'!B33</f>
        <v>0</v>
      </c>
      <c r="C37" s="62">
        <f>'Data Siswa'!C33</f>
        <v>0</v>
      </c>
      <c r="D37" s="63">
        <f>'Nilai Syafahi'!W35</f>
        <v>0</v>
      </c>
      <c r="E37" s="64" t="e">
        <f>'Nilai Syafahi'!X35</f>
        <v>#DIV/0!</v>
      </c>
      <c r="F37" s="65">
        <f ca="1">'Nilai Syafahi'!Y35</f>
        <v>30</v>
      </c>
      <c r="G37" s="65" t="str">
        <f>'Nilai Syafahi'!Z35</f>
        <v>-</v>
      </c>
    </row>
    <row r="38" spans="1:7" ht="18" customHeight="1">
      <c r="A38" s="62">
        <v>33</v>
      </c>
      <c r="B38" s="70">
        <f>'Data Siswa'!B34</f>
        <v>0</v>
      </c>
      <c r="C38" s="62">
        <f>'Data Siswa'!C34</f>
        <v>0</v>
      </c>
      <c r="D38" s="63">
        <f>'Nilai Syafahi'!W36</f>
        <v>0</v>
      </c>
      <c r="E38" s="64" t="e">
        <f>'Nilai Syafahi'!X36</f>
        <v>#DIV/0!</v>
      </c>
      <c r="F38" s="65">
        <f ca="1">'Nilai Syafahi'!Y36</f>
        <v>30</v>
      </c>
      <c r="G38" s="65" t="str">
        <f>'Nilai Syafahi'!Z36</f>
        <v>-</v>
      </c>
    </row>
    <row r="39" spans="1:7" ht="18" customHeight="1">
      <c r="A39" s="62">
        <v>34</v>
      </c>
      <c r="B39" s="70">
        <f>'Data Siswa'!B35</f>
        <v>0</v>
      </c>
      <c r="C39" s="62">
        <f>'Data Siswa'!C35</f>
        <v>0</v>
      </c>
      <c r="D39" s="63">
        <f>'Nilai Syafahi'!W37</f>
        <v>0</v>
      </c>
      <c r="E39" s="64" t="e">
        <f>'Nilai Syafahi'!X37</f>
        <v>#DIV/0!</v>
      </c>
      <c r="F39" s="65">
        <f ca="1">'Nilai Syafahi'!Y37</f>
        <v>30</v>
      </c>
      <c r="G39" s="65" t="str">
        <f>'Nilai Syafahi'!Z37</f>
        <v>-</v>
      </c>
    </row>
    <row r="40" spans="1:7" ht="18" customHeight="1">
      <c r="A40" s="62">
        <v>35</v>
      </c>
      <c r="B40" s="70">
        <f>'Data Siswa'!B36</f>
        <v>0</v>
      </c>
      <c r="C40" s="62">
        <f>'Data Siswa'!C36</f>
        <v>0</v>
      </c>
      <c r="D40" s="63">
        <f>'Nilai Syafahi'!W38</f>
        <v>0</v>
      </c>
      <c r="E40" s="64" t="e">
        <f>'Nilai Syafahi'!X38</f>
        <v>#DIV/0!</v>
      </c>
      <c r="F40" s="65">
        <f ca="1">'Nilai Syafahi'!Y38</f>
        <v>30</v>
      </c>
      <c r="G40" s="65" t="str">
        <f>'Nilai Syafahi'!Z38</f>
        <v>-</v>
      </c>
    </row>
    <row r="41" spans="1:7" ht="18" customHeight="1">
      <c r="A41" s="62">
        <v>36</v>
      </c>
      <c r="B41" s="70">
        <f>'Data Siswa'!B37</f>
        <v>0</v>
      </c>
      <c r="C41" s="62">
        <f>'Data Siswa'!C37</f>
        <v>0</v>
      </c>
      <c r="D41" s="63">
        <f>'Nilai Syafahi'!W39</f>
        <v>0</v>
      </c>
      <c r="E41" s="64" t="e">
        <f>'Nilai Syafahi'!X39</f>
        <v>#DIV/0!</v>
      </c>
      <c r="F41" s="65">
        <f ca="1">'Nilai Syafahi'!Y39</f>
        <v>30</v>
      </c>
      <c r="G41" s="65" t="str">
        <f>'Nilai Syafahi'!Z39</f>
        <v>-</v>
      </c>
    </row>
    <row r="42" spans="1:7" ht="18" customHeight="1">
      <c r="A42" s="62">
        <v>37</v>
      </c>
      <c r="B42" s="70">
        <f>'Data Siswa'!B38</f>
        <v>0</v>
      </c>
      <c r="C42" s="62">
        <f>'Data Siswa'!C38</f>
        <v>0</v>
      </c>
      <c r="D42" s="63">
        <f>'Nilai Syafahi'!W40</f>
        <v>0</v>
      </c>
      <c r="E42" s="64" t="e">
        <f>'Nilai Syafahi'!X40</f>
        <v>#DIV/0!</v>
      </c>
      <c r="F42" s="65">
        <f ca="1">'Nilai Syafahi'!Y40</f>
        <v>30</v>
      </c>
      <c r="G42" s="65" t="str">
        <f>'Nilai Syafahi'!Z40</f>
        <v>-</v>
      </c>
    </row>
    <row r="43" spans="1:7" ht="18" customHeight="1">
      <c r="A43" s="62">
        <v>38</v>
      </c>
      <c r="B43" s="70">
        <f>'Data Siswa'!B39</f>
        <v>0</v>
      </c>
      <c r="C43" s="62">
        <f>'Data Siswa'!C39</f>
        <v>0</v>
      </c>
      <c r="D43" s="63">
        <f>'Nilai Syafahi'!W41</f>
        <v>0</v>
      </c>
      <c r="E43" s="64" t="e">
        <f>'Nilai Syafahi'!X41</f>
        <v>#DIV/0!</v>
      </c>
      <c r="F43" s="65">
        <f ca="1">'Nilai Syafahi'!Y41</f>
        <v>30</v>
      </c>
      <c r="G43" s="65" t="str">
        <f>'Nilai Syafahi'!Z41</f>
        <v>-</v>
      </c>
    </row>
    <row r="44" spans="1:7" ht="18" customHeight="1">
      <c r="A44" s="62">
        <v>39</v>
      </c>
      <c r="B44" s="70">
        <f>'Data Siswa'!B40</f>
        <v>0</v>
      </c>
      <c r="C44" s="62">
        <f>'Data Siswa'!C40</f>
        <v>0</v>
      </c>
      <c r="D44" s="63">
        <f>'Nilai Syafahi'!W42</f>
        <v>0</v>
      </c>
      <c r="E44" s="64" t="e">
        <f>'Nilai Syafahi'!X42</f>
        <v>#DIV/0!</v>
      </c>
      <c r="F44" s="65">
        <f ca="1">'Nilai Syafahi'!Y42</f>
        <v>30</v>
      </c>
      <c r="G44" s="65" t="str">
        <f>'Nilai Syafahi'!Z42</f>
        <v>-</v>
      </c>
    </row>
    <row r="45" spans="1:7" ht="18" customHeight="1">
      <c r="A45" s="62">
        <v>40</v>
      </c>
      <c r="B45" s="70">
        <f>'Data Siswa'!B41</f>
        <v>0</v>
      </c>
      <c r="C45" s="62">
        <f>'Data Siswa'!C41</f>
        <v>0</v>
      </c>
      <c r="D45" s="63">
        <f>'Nilai Syafahi'!W43</f>
        <v>0</v>
      </c>
      <c r="E45" s="64" t="e">
        <f>'Nilai Syafahi'!X43</f>
        <v>#DIV/0!</v>
      </c>
      <c r="F45" s="65">
        <f ca="1">'Nilai Syafahi'!Y43</f>
        <v>30</v>
      </c>
      <c r="G45" s="65" t="str">
        <f>'Nilai Syafahi'!Z43</f>
        <v>-</v>
      </c>
    </row>
    <row r="47" spans="1:7" ht="18.5">
      <c r="D47" s="67"/>
      <c r="E47" s="279" t="s">
        <v>160</v>
      </c>
      <c r="F47" s="279"/>
      <c r="G47" s="279"/>
    </row>
    <row r="48" spans="1:7" ht="18.5">
      <c r="D48" s="67"/>
      <c r="E48" s="68"/>
      <c r="F48" s="68"/>
    </row>
    <row r="49" spans="4:7" ht="18.5">
      <c r="D49" s="67"/>
      <c r="E49" s="68"/>
      <c r="F49" s="68"/>
    </row>
    <row r="50" spans="4:7" ht="18.5">
      <c r="D50" s="67"/>
      <c r="E50" s="280" t="str">
        <f>Biodata!C19</f>
        <v xml:space="preserve">                                          </v>
      </c>
      <c r="F50" s="280"/>
      <c r="G50" s="280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1.1233660130719001" header="0.3" footer="0.3"/>
  <pageSetup paperSize="5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39"/>
      <c r="B1" s="39"/>
    </row>
    <row r="2" spans="1:2">
      <c r="A2" s="54">
        <v>0</v>
      </c>
      <c r="B2" s="39" t="s">
        <v>94</v>
      </c>
    </row>
    <row r="3" spans="1:2">
      <c r="A3" s="54">
        <v>1</v>
      </c>
      <c r="B3" s="39" t="s">
        <v>268</v>
      </c>
    </row>
    <row r="4" spans="1:2">
      <c r="A4" s="54">
        <v>1.1000000000000001</v>
      </c>
      <c r="B4" s="39" t="s">
        <v>269</v>
      </c>
    </row>
    <row r="5" spans="1:2">
      <c r="A5" s="54">
        <v>1.2</v>
      </c>
      <c r="B5" s="39" t="s">
        <v>277</v>
      </c>
    </row>
    <row r="6" spans="1:2">
      <c r="A6" s="54">
        <v>1.3</v>
      </c>
      <c r="B6" s="39" t="s">
        <v>270</v>
      </c>
    </row>
    <row r="7" spans="1:2">
      <c r="A7" s="54">
        <v>1.4</v>
      </c>
      <c r="B7" s="39" t="s">
        <v>271</v>
      </c>
    </row>
    <row r="8" spans="1:2">
      <c r="A8" s="54">
        <v>1.5</v>
      </c>
      <c r="B8" s="39" t="s">
        <v>272</v>
      </c>
    </row>
    <row r="9" spans="1:2">
      <c r="A9" s="54">
        <v>1.6</v>
      </c>
      <c r="B9" s="39" t="s">
        <v>273</v>
      </c>
    </row>
    <row r="10" spans="1:2">
      <c r="A10" s="54">
        <v>1.7</v>
      </c>
      <c r="B10" s="39" t="s">
        <v>274</v>
      </c>
    </row>
    <row r="11" spans="1:2">
      <c r="A11" s="54">
        <v>1.8</v>
      </c>
      <c r="B11" s="39" t="s">
        <v>275</v>
      </c>
    </row>
    <row r="12" spans="1:2">
      <c r="A12" s="54">
        <v>1.9</v>
      </c>
      <c r="B12" s="39" t="s">
        <v>276</v>
      </c>
    </row>
    <row r="13" spans="1:2">
      <c r="A13" s="54">
        <v>2</v>
      </c>
      <c r="B13" s="39" t="s">
        <v>182</v>
      </c>
    </row>
    <row r="14" spans="1:2">
      <c r="A14" s="54">
        <v>2.1</v>
      </c>
      <c r="B14" s="39" t="s">
        <v>183</v>
      </c>
    </row>
    <row r="15" spans="1:2">
      <c r="A15" s="54">
        <v>2.2000000000000002</v>
      </c>
      <c r="B15" s="39" t="s">
        <v>184</v>
      </c>
    </row>
    <row r="16" spans="1:2">
      <c r="A16" s="54">
        <v>2.2999999999999998</v>
      </c>
      <c r="B16" s="39" t="s">
        <v>185</v>
      </c>
    </row>
    <row r="17" spans="1:2">
      <c r="A17" s="54">
        <v>2.4</v>
      </c>
      <c r="B17" s="39" t="s">
        <v>186</v>
      </c>
    </row>
    <row r="18" spans="1:2">
      <c r="A18" s="54">
        <v>2.5</v>
      </c>
      <c r="B18" s="39" t="s">
        <v>187</v>
      </c>
    </row>
    <row r="19" spans="1:2">
      <c r="A19" s="54">
        <v>2.6</v>
      </c>
      <c r="B19" s="39" t="s">
        <v>188</v>
      </c>
    </row>
    <row r="20" spans="1:2">
      <c r="A20" s="54">
        <v>2.7</v>
      </c>
      <c r="B20" s="39" t="s">
        <v>189</v>
      </c>
    </row>
    <row r="21" spans="1:2">
      <c r="A21" s="54">
        <v>2.8</v>
      </c>
      <c r="B21" s="39" t="s">
        <v>190</v>
      </c>
    </row>
    <row r="22" spans="1:2">
      <c r="A22" s="54">
        <v>2.9</v>
      </c>
      <c r="B22" s="39" t="s">
        <v>191</v>
      </c>
    </row>
    <row r="23" spans="1:2">
      <c r="A23" s="54">
        <v>3</v>
      </c>
      <c r="B23" s="39" t="s">
        <v>192</v>
      </c>
    </row>
    <row r="24" spans="1:2">
      <c r="A24" s="54">
        <v>3.1</v>
      </c>
      <c r="B24" s="39" t="s">
        <v>193</v>
      </c>
    </row>
    <row r="25" spans="1:2">
      <c r="A25" s="54">
        <v>3.2</v>
      </c>
      <c r="B25" s="39" t="s">
        <v>194</v>
      </c>
    </row>
    <row r="26" spans="1:2">
      <c r="A26" s="54">
        <v>3.3</v>
      </c>
      <c r="B26" s="39" t="s">
        <v>195</v>
      </c>
    </row>
    <row r="27" spans="1:2">
      <c r="A27" s="54">
        <v>3.4</v>
      </c>
      <c r="B27" s="39" t="s">
        <v>196</v>
      </c>
    </row>
    <row r="28" spans="1:2">
      <c r="A28" s="54">
        <v>3.5</v>
      </c>
      <c r="B28" s="39" t="s">
        <v>197</v>
      </c>
    </row>
    <row r="29" spans="1:2">
      <c r="A29" s="54">
        <v>3.6</v>
      </c>
      <c r="B29" s="39" t="s">
        <v>198</v>
      </c>
    </row>
    <row r="30" spans="1:2">
      <c r="A30" s="54">
        <v>3.7</v>
      </c>
      <c r="B30" s="39" t="s">
        <v>199</v>
      </c>
    </row>
    <row r="31" spans="1:2">
      <c r="A31" s="54">
        <v>3.8</v>
      </c>
      <c r="B31" s="39" t="s">
        <v>200</v>
      </c>
    </row>
    <row r="32" spans="1:2">
      <c r="A32" s="54">
        <v>3.9</v>
      </c>
      <c r="B32" s="39" t="s">
        <v>201</v>
      </c>
    </row>
    <row r="33" spans="1:2">
      <c r="A33" s="54">
        <v>4</v>
      </c>
      <c r="B33" s="39" t="s">
        <v>202</v>
      </c>
    </row>
    <row r="34" spans="1:2">
      <c r="A34" s="54">
        <v>4.0999999999999996</v>
      </c>
      <c r="B34" s="39" t="s">
        <v>203</v>
      </c>
    </row>
    <row r="35" spans="1:2">
      <c r="A35" s="54">
        <v>4.2</v>
      </c>
      <c r="B35" s="39" t="s">
        <v>204</v>
      </c>
    </row>
    <row r="36" spans="1:2">
      <c r="A36" s="54">
        <v>4.3</v>
      </c>
      <c r="B36" s="39" t="s">
        <v>205</v>
      </c>
    </row>
    <row r="37" spans="1:2">
      <c r="A37" s="54">
        <v>4.4000000000000004</v>
      </c>
      <c r="B37" s="39" t="s">
        <v>206</v>
      </c>
    </row>
    <row r="38" spans="1:2">
      <c r="A38" s="54">
        <v>4.5</v>
      </c>
      <c r="B38" s="39" t="s">
        <v>207</v>
      </c>
    </row>
    <row r="39" spans="1:2">
      <c r="A39" s="54">
        <v>4.5999999999999996</v>
      </c>
      <c r="B39" s="39" t="s">
        <v>208</v>
      </c>
    </row>
    <row r="40" spans="1:2">
      <c r="A40" s="54">
        <v>4.7</v>
      </c>
      <c r="B40" s="39" t="s">
        <v>209</v>
      </c>
    </row>
    <row r="41" spans="1:2">
      <c r="A41" s="54">
        <v>4.8</v>
      </c>
      <c r="B41" s="39" t="s">
        <v>210</v>
      </c>
    </row>
    <row r="42" spans="1:2">
      <c r="A42" s="54">
        <v>4.9000000000000004</v>
      </c>
      <c r="B42" s="39" t="s">
        <v>211</v>
      </c>
    </row>
    <row r="43" spans="1:2">
      <c r="A43" s="54">
        <v>5</v>
      </c>
      <c r="B43" s="39" t="s">
        <v>212</v>
      </c>
    </row>
    <row r="44" spans="1:2">
      <c r="A44" s="54">
        <v>5.0999999999999996</v>
      </c>
      <c r="B44" s="39" t="s">
        <v>213</v>
      </c>
    </row>
    <row r="45" spans="1:2">
      <c r="A45" s="54">
        <v>5.2</v>
      </c>
      <c r="B45" s="39" t="s">
        <v>214</v>
      </c>
    </row>
    <row r="46" spans="1:2">
      <c r="A46" s="54">
        <v>5.3</v>
      </c>
      <c r="B46" s="39" t="s">
        <v>215</v>
      </c>
    </row>
    <row r="47" spans="1:2">
      <c r="A47" s="54">
        <v>5.4</v>
      </c>
      <c r="B47" s="39" t="s">
        <v>216</v>
      </c>
    </row>
    <row r="48" spans="1:2">
      <c r="A48" s="54">
        <v>5.5</v>
      </c>
      <c r="B48" s="39" t="s">
        <v>217</v>
      </c>
    </row>
    <row r="49" spans="1:2">
      <c r="A49" s="54">
        <v>5.6</v>
      </c>
      <c r="B49" s="39" t="s">
        <v>218</v>
      </c>
    </row>
    <row r="50" spans="1:2">
      <c r="A50" s="54">
        <v>5.7</v>
      </c>
      <c r="B50" s="39" t="s">
        <v>219</v>
      </c>
    </row>
    <row r="51" spans="1:2">
      <c r="A51" s="54">
        <v>5.8</v>
      </c>
      <c r="B51" s="39" t="s">
        <v>220</v>
      </c>
    </row>
    <row r="52" spans="1:2">
      <c r="A52" s="54">
        <v>5.9</v>
      </c>
      <c r="B52" s="39" t="s">
        <v>221</v>
      </c>
    </row>
    <row r="53" spans="1:2">
      <c r="A53" s="54">
        <v>6</v>
      </c>
      <c r="B53" s="39" t="s">
        <v>222</v>
      </c>
    </row>
    <row r="54" spans="1:2">
      <c r="A54" s="54">
        <v>6.1</v>
      </c>
      <c r="B54" s="39" t="s">
        <v>223</v>
      </c>
    </row>
    <row r="55" spans="1:2">
      <c r="A55" s="54">
        <v>6.2</v>
      </c>
      <c r="B55" s="39" t="s">
        <v>224</v>
      </c>
    </row>
    <row r="56" spans="1:2">
      <c r="A56" s="54">
        <v>6.3</v>
      </c>
      <c r="B56" s="39" t="s">
        <v>225</v>
      </c>
    </row>
    <row r="57" spans="1:2">
      <c r="A57" s="54">
        <v>6.4</v>
      </c>
      <c r="B57" s="39" t="s">
        <v>226</v>
      </c>
    </row>
    <row r="58" spans="1:2">
      <c r="A58" s="54">
        <v>6.5</v>
      </c>
      <c r="B58" s="39" t="s">
        <v>227</v>
      </c>
    </row>
    <row r="59" spans="1:2">
      <c r="A59" s="54">
        <v>6.6</v>
      </c>
      <c r="B59" s="39" t="s">
        <v>228</v>
      </c>
    </row>
    <row r="60" spans="1:2">
      <c r="A60" s="54">
        <v>6.7</v>
      </c>
      <c r="B60" s="39" t="s">
        <v>229</v>
      </c>
    </row>
    <row r="61" spans="1:2">
      <c r="A61" s="54">
        <v>6.8</v>
      </c>
      <c r="B61" s="39" t="s">
        <v>230</v>
      </c>
    </row>
    <row r="62" spans="1:2">
      <c r="A62" s="54">
        <v>6.9</v>
      </c>
      <c r="B62" s="39" t="s">
        <v>231</v>
      </c>
    </row>
    <row r="63" spans="1:2">
      <c r="A63" s="54">
        <v>7</v>
      </c>
      <c r="B63" s="39" t="s">
        <v>232</v>
      </c>
    </row>
    <row r="64" spans="1:2">
      <c r="A64" s="54">
        <v>7.1</v>
      </c>
      <c r="B64" s="39" t="s">
        <v>233</v>
      </c>
    </row>
    <row r="65" spans="1:2">
      <c r="A65" s="54">
        <v>7.2</v>
      </c>
      <c r="B65" s="39" t="s">
        <v>234</v>
      </c>
    </row>
    <row r="66" spans="1:2">
      <c r="A66" s="54">
        <v>7.3</v>
      </c>
      <c r="B66" s="39" t="s">
        <v>235</v>
      </c>
    </row>
    <row r="67" spans="1:2">
      <c r="A67" s="54">
        <v>7.4</v>
      </c>
      <c r="B67" s="39" t="s">
        <v>236</v>
      </c>
    </row>
    <row r="68" spans="1:2">
      <c r="A68" s="54">
        <v>7.5</v>
      </c>
      <c r="B68" s="39" t="s">
        <v>237</v>
      </c>
    </row>
    <row r="69" spans="1:2">
      <c r="A69" s="54">
        <v>7.6</v>
      </c>
      <c r="B69" s="39" t="s">
        <v>238</v>
      </c>
    </row>
    <row r="70" spans="1:2">
      <c r="A70" s="54">
        <v>7.7</v>
      </c>
      <c r="B70" s="39" t="s">
        <v>239</v>
      </c>
    </row>
    <row r="71" spans="1:2">
      <c r="A71" s="54">
        <v>7.8</v>
      </c>
      <c r="B71" s="39" t="s">
        <v>240</v>
      </c>
    </row>
    <row r="72" spans="1:2">
      <c r="A72" s="54">
        <v>7.9</v>
      </c>
      <c r="B72" s="39" t="s">
        <v>241</v>
      </c>
    </row>
    <row r="73" spans="1:2">
      <c r="A73" s="54">
        <v>8</v>
      </c>
      <c r="B73" s="39" t="s">
        <v>242</v>
      </c>
    </row>
    <row r="74" spans="1:2">
      <c r="A74" s="54">
        <v>8.1</v>
      </c>
      <c r="B74" s="39" t="s">
        <v>243</v>
      </c>
    </row>
    <row r="75" spans="1:2">
      <c r="A75" s="54">
        <v>8.1999999999999993</v>
      </c>
      <c r="B75" s="39" t="s">
        <v>244</v>
      </c>
    </row>
    <row r="76" spans="1:2">
      <c r="A76" s="54">
        <v>8.3000000000000007</v>
      </c>
      <c r="B76" s="39" t="s">
        <v>245</v>
      </c>
    </row>
    <row r="77" spans="1:2">
      <c r="A77" s="54">
        <v>8.4</v>
      </c>
      <c r="B77" s="39" t="s">
        <v>246</v>
      </c>
    </row>
    <row r="78" spans="1:2">
      <c r="A78" s="54">
        <v>8.5</v>
      </c>
      <c r="B78" s="39" t="s">
        <v>247</v>
      </c>
    </row>
    <row r="79" spans="1:2">
      <c r="A79" s="54">
        <v>8.6</v>
      </c>
      <c r="B79" s="39" t="s">
        <v>248</v>
      </c>
    </row>
    <row r="80" spans="1:2">
      <c r="A80" s="54">
        <v>8.6999999999999993</v>
      </c>
      <c r="B80" s="39" t="s">
        <v>249</v>
      </c>
    </row>
    <row r="81" spans="1:2">
      <c r="A81" s="54">
        <v>8.8000000000000007</v>
      </c>
      <c r="B81" s="39" t="s">
        <v>250</v>
      </c>
    </row>
    <row r="82" spans="1:2">
      <c r="A82" s="54">
        <v>8.9</v>
      </c>
      <c r="B82" s="39" t="s">
        <v>251</v>
      </c>
    </row>
    <row r="83" spans="1:2">
      <c r="A83" s="54">
        <v>9</v>
      </c>
      <c r="B83" s="39" t="s">
        <v>252</v>
      </c>
    </row>
    <row r="84" spans="1:2">
      <c r="A84" s="54">
        <v>9.1</v>
      </c>
      <c r="B84" s="39" t="s">
        <v>253</v>
      </c>
    </row>
    <row r="85" spans="1:2">
      <c r="A85" s="54">
        <v>9.1999999999999993</v>
      </c>
      <c r="B85" s="39" t="s">
        <v>254</v>
      </c>
    </row>
    <row r="86" spans="1:2">
      <c r="A86" s="54">
        <v>9.3000000000000007</v>
      </c>
      <c r="B86" s="39" t="s">
        <v>255</v>
      </c>
    </row>
    <row r="87" spans="1:2">
      <c r="A87" s="54">
        <v>9.3999999999999897</v>
      </c>
      <c r="B87" s="39" t="s">
        <v>256</v>
      </c>
    </row>
    <row r="88" spans="1:2">
      <c r="A88" s="54">
        <v>9.4999999999999893</v>
      </c>
      <c r="B88" s="39" t="s">
        <v>257</v>
      </c>
    </row>
    <row r="89" spans="1:2">
      <c r="A89" s="54">
        <v>9.5999999999999908</v>
      </c>
      <c r="B89" s="39" t="s">
        <v>258</v>
      </c>
    </row>
    <row r="90" spans="1:2">
      <c r="A90" s="54">
        <v>9.6999999999999904</v>
      </c>
      <c r="B90" s="39" t="s">
        <v>259</v>
      </c>
    </row>
    <row r="91" spans="1:2">
      <c r="A91" s="54">
        <v>9.7999999999999901</v>
      </c>
      <c r="B91" s="39" t="s">
        <v>260</v>
      </c>
    </row>
    <row r="92" spans="1:2">
      <c r="A92" s="54">
        <v>9.8999999999999897</v>
      </c>
      <c r="B92" s="39" t="s">
        <v>261</v>
      </c>
    </row>
    <row r="93" spans="1:2">
      <c r="A93" s="54">
        <v>9.9999999999999893</v>
      </c>
      <c r="B93" s="39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2023-12-16T06:39:39Z</cp:lastPrinted>
  <dcterms:created xsi:type="dcterms:W3CDTF">2019-11-27T22:18:02Z</dcterms:created>
  <dcterms:modified xsi:type="dcterms:W3CDTF">2024-01-02T13:34:49Z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