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2D80F91D-FCC2-4DBE-8A51-38919240FE0A}" xr6:coauthVersionLast="47" xr6:coauthVersionMax="47" xr10:uidLastSave="{00000000-0000-0000-0000-000000000000}"/>
  <bookViews>
    <workbookView xWindow="-110" yWindow="-110" windowWidth="19420" windowHeight="10300" tabRatio="792" firstSheet="1" activeTab="8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Lembar1" sheetId="13" r:id="rId5"/>
    <sheet name="Nilai Syafahi" sheetId="4" r:id="rId6"/>
    <sheet name="Akhlak" sheetId="11" r:id="rId7"/>
    <sheet name="Rapot" sheetId="1" r:id="rId8"/>
    <sheet name="Rekap Nilai" sheetId="12" r:id="rId9"/>
    <sheet name="Sheet1" sheetId="5" state="hidden" r:id="rId10"/>
  </sheets>
  <definedNames>
    <definedName name="_xlnm._FilterDatabase" localSheetId="8" hidden="1">'Rekap Nilai'!$B$5:$G$45</definedName>
    <definedName name="nilai">'Nilai Tahriri'!$B$2:$AJ$27</definedName>
    <definedName name="_xlnm.Print_Area" localSheetId="5">'Nilai Syafahi'!$A$1:$Z$43</definedName>
    <definedName name="_xlnm.Print_Area" localSheetId="7">Rapot!$A$1:$S$57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2" l="1"/>
  <c r="B10" i="12"/>
  <c r="C10" i="12"/>
  <c r="B36" i="12"/>
  <c r="C36" i="12"/>
  <c r="B13" i="12"/>
  <c r="C13" i="12"/>
  <c r="B38" i="12"/>
  <c r="C38" i="12"/>
  <c r="B24" i="12"/>
  <c r="C24" i="12"/>
  <c r="B21" i="12"/>
  <c r="C21" i="12"/>
  <c r="B6" i="12"/>
  <c r="C6" i="12"/>
  <c r="B12" i="12"/>
  <c r="C12" i="12"/>
  <c r="B18" i="12"/>
  <c r="C18" i="12"/>
  <c r="B16" i="12"/>
  <c r="C16" i="12"/>
  <c r="B25" i="12"/>
  <c r="C25" i="12"/>
  <c r="B19" i="12"/>
  <c r="C19" i="12"/>
  <c r="B29" i="12"/>
  <c r="C29" i="12"/>
  <c r="B30" i="12"/>
  <c r="C30" i="12"/>
  <c r="B14" i="12"/>
  <c r="C14" i="12"/>
  <c r="B28" i="12"/>
  <c r="C28" i="12"/>
  <c r="B31" i="12"/>
  <c r="C31" i="12"/>
  <c r="B7" i="12"/>
  <c r="C7" i="12"/>
  <c r="B15" i="12"/>
  <c r="C15" i="12"/>
  <c r="B32" i="12"/>
  <c r="C32" i="12"/>
  <c r="B27" i="12"/>
  <c r="C27" i="12"/>
  <c r="B23" i="12"/>
  <c r="C23" i="12"/>
  <c r="B39" i="12"/>
  <c r="C39" i="12"/>
  <c r="B20" i="12"/>
  <c r="C20" i="12"/>
  <c r="B33" i="12"/>
  <c r="C33" i="12"/>
  <c r="B37" i="12"/>
  <c r="C37" i="12"/>
  <c r="B17" i="12"/>
  <c r="C17" i="12"/>
  <c r="B9" i="12"/>
  <c r="C9" i="12"/>
  <c r="B11" i="12"/>
  <c r="C11" i="12"/>
  <c r="B22" i="12"/>
  <c r="C22" i="12"/>
  <c r="B8" i="12"/>
  <c r="C8" i="12"/>
  <c r="B26" i="12"/>
  <c r="C26" i="12"/>
  <c r="B34" i="12"/>
  <c r="C34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35" i="12"/>
  <c r="C35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10" i="12"/>
  <c r="X6" i="4"/>
  <c r="E36" i="12"/>
  <c r="X7" i="4"/>
  <c r="E13" i="12"/>
  <c r="X8" i="4"/>
  <c r="E38" i="12"/>
  <c r="X9" i="4"/>
  <c r="E24" i="12"/>
  <c r="X10" i="4"/>
  <c r="E21" i="12"/>
  <c r="X11" i="4"/>
  <c r="E6" i="12"/>
  <c r="X12" i="4"/>
  <c r="E12" i="12"/>
  <c r="X13" i="4"/>
  <c r="E18" i="12"/>
  <c r="X14" i="4"/>
  <c r="E16" i="12"/>
  <c r="X15" i="4"/>
  <c r="E25" i="12"/>
  <c r="X16" i="4"/>
  <c r="E19" i="12"/>
  <c r="X17" i="4"/>
  <c r="E29" i="12"/>
  <c r="X18" i="4"/>
  <c r="E30" i="12"/>
  <c r="X19" i="4"/>
  <c r="E14" i="12"/>
  <c r="X20" i="4"/>
  <c r="E28" i="12"/>
  <c r="X21" i="4"/>
  <c r="E31" i="12"/>
  <c r="X22" i="4"/>
  <c r="E7" i="12"/>
  <c r="X23" i="4"/>
  <c r="E15" i="12"/>
  <c r="X24" i="4"/>
  <c r="E32" i="12"/>
  <c r="X25" i="4"/>
  <c r="E27" i="12"/>
  <c r="X26" i="4"/>
  <c r="E23" i="12"/>
  <c r="X27" i="4"/>
  <c r="E39" i="12"/>
  <c r="X28" i="4"/>
  <c r="E20" i="12"/>
  <c r="X29" i="4"/>
  <c r="E33" i="12"/>
  <c r="X30" i="4"/>
  <c r="E37" i="12"/>
  <c r="X31" i="4"/>
  <c r="E17" i="12"/>
  <c r="X32" i="4"/>
  <c r="E9" i="12"/>
  <c r="X33" i="4"/>
  <c r="E11" i="12"/>
  <c r="X34" i="4"/>
  <c r="E22" i="12"/>
  <c r="X35" i="4"/>
  <c r="E8" i="12"/>
  <c r="X36" i="4"/>
  <c r="E26" i="12"/>
  <c r="X37" i="4"/>
  <c r="E34" i="12"/>
  <c r="X38" i="4"/>
  <c r="E40" i="12"/>
  <c r="X39" i="4"/>
  <c r="E41" i="12"/>
  <c r="X40" i="4"/>
  <c r="E42" i="12"/>
  <c r="X41" i="4"/>
  <c r="E43" i="12"/>
  <c r="X42" i="4"/>
  <c r="E44" i="12"/>
  <c r="X43" i="4"/>
  <c r="E45" i="12"/>
  <c r="X4" i="4"/>
  <c r="E35" i="12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26" i="12"/>
  <c r="G45" i="12"/>
  <c r="G43" i="12"/>
  <c r="G34" i="12"/>
  <c r="G44" i="12"/>
  <c r="G42" i="12"/>
  <c r="G41" i="12"/>
  <c r="G8" i="12"/>
  <c r="G22" i="12"/>
  <c r="G40" i="12"/>
  <c r="G23" i="12"/>
  <c r="G11" i="12"/>
  <c r="G9" i="12"/>
  <c r="G17" i="12"/>
  <c r="G37" i="12"/>
  <c r="G33" i="12"/>
  <c r="G20" i="12"/>
  <c r="G39" i="12"/>
  <c r="G27" i="12"/>
  <c r="G32" i="12"/>
  <c r="G15" i="12"/>
  <c r="G7" i="12"/>
  <c r="G31" i="12"/>
  <c r="G28" i="12"/>
  <c r="G14" i="12"/>
  <c r="G30" i="12"/>
  <c r="G29" i="12"/>
  <c r="G19" i="12"/>
  <c r="G25" i="12"/>
  <c r="G16" i="12"/>
  <c r="G18" i="12"/>
  <c r="G12" i="12"/>
  <c r="G6" i="12"/>
  <c r="G21" i="12"/>
  <c r="G24" i="12"/>
  <c r="G38" i="12"/>
  <c r="G13" i="12"/>
  <c r="G36" i="12"/>
  <c r="G10" i="12"/>
  <c r="G35" i="12"/>
  <c r="D42" i="1"/>
  <c r="K57" i="1"/>
  <c r="O55" i="1"/>
  <c r="M50" i="1"/>
  <c r="M49" i="1"/>
  <c r="M46" i="1"/>
  <c r="M45" i="1"/>
  <c r="B32" i="1"/>
  <c r="M31" i="1"/>
  <c r="B31" i="1"/>
  <c r="B30" i="1"/>
  <c r="M27" i="1"/>
  <c r="M26" i="1"/>
  <c r="M15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C27" i="1"/>
  <c r="AJ41" i="3"/>
  <c r="C41" i="3"/>
  <c r="B41" i="3"/>
  <c r="AJ40" i="3"/>
  <c r="C40" i="3"/>
  <c r="B40" i="3"/>
  <c r="AJ39" i="3"/>
  <c r="C39" i="3"/>
  <c r="B39" i="3"/>
  <c r="AJ38" i="3"/>
  <c r="C38" i="3"/>
  <c r="B38" i="3"/>
  <c r="AJ37" i="3"/>
  <c r="C37" i="3"/>
  <c r="B37" i="3"/>
  <c r="AJ36" i="3"/>
  <c r="W38" i="4"/>
  <c r="D40" i="12"/>
  <c r="C36" i="3"/>
  <c r="B36" i="3"/>
  <c r="AJ35" i="3"/>
  <c r="W37" i="4"/>
  <c r="D34" i="12"/>
  <c r="C35" i="3"/>
  <c r="B35" i="3"/>
  <c r="AJ34" i="3"/>
  <c r="C34" i="3"/>
  <c r="B34" i="3"/>
  <c r="AJ33" i="3"/>
  <c r="C33" i="3"/>
  <c r="B33" i="3"/>
  <c r="AJ32" i="3"/>
  <c r="C32" i="3"/>
  <c r="B32" i="3"/>
  <c r="AJ31" i="3"/>
  <c r="C31" i="3"/>
  <c r="B31" i="3"/>
  <c r="AJ30" i="3"/>
  <c r="C30" i="3"/>
  <c r="B30" i="3"/>
  <c r="AJ29" i="3"/>
  <c r="C29" i="3"/>
  <c r="B29" i="3"/>
  <c r="AJ28" i="3"/>
  <c r="W30" i="4"/>
  <c r="D37" i="12"/>
  <c r="C28" i="3"/>
  <c r="B28" i="3"/>
  <c r="AJ27" i="3"/>
  <c r="W29" i="4"/>
  <c r="D33" i="12"/>
  <c r="C27" i="3"/>
  <c r="B27" i="3"/>
  <c r="AJ26" i="3"/>
  <c r="C26" i="3"/>
  <c r="B26" i="3"/>
  <c r="AJ25" i="3"/>
  <c r="C25" i="3"/>
  <c r="B25" i="3"/>
  <c r="AJ24" i="3"/>
  <c r="C24" i="3"/>
  <c r="B24" i="3"/>
  <c r="AJ23" i="3"/>
  <c r="C23" i="3"/>
  <c r="B23" i="3"/>
  <c r="AJ22" i="3"/>
  <c r="C22" i="3"/>
  <c r="B22" i="3"/>
  <c r="AJ21" i="3"/>
  <c r="C21" i="3"/>
  <c r="B21" i="3"/>
  <c r="AJ20" i="3"/>
  <c r="W22" i="4"/>
  <c r="D7" i="12"/>
  <c r="C20" i="3"/>
  <c r="B20" i="3"/>
  <c r="AJ19" i="3"/>
  <c r="W21" i="4"/>
  <c r="D31" i="12"/>
  <c r="C19" i="3"/>
  <c r="B19" i="3"/>
  <c r="AJ18" i="3"/>
  <c r="C18" i="3"/>
  <c r="B18" i="3"/>
  <c r="AJ17" i="3"/>
  <c r="C17" i="3"/>
  <c r="B17" i="3"/>
  <c r="AJ16" i="3"/>
  <c r="C16" i="3"/>
  <c r="B16" i="3"/>
  <c r="AJ15" i="3"/>
  <c r="C15" i="3"/>
  <c r="B15" i="3"/>
  <c r="AJ14" i="3"/>
  <c r="C14" i="3"/>
  <c r="B14" i="3"/>
  <c r="AJ13" i="3"/>
  <c r="C13" i="3"/>
  <c r="B13" i="3"/>
  <c r="AJ12" i="3"/>
  <c r="W14" i="4"/>
  <c r="D16" i="12"/>
  <c r="C12" i="3"/>
  <c r="B12" i="3"/>
  <c r="AJ11" i="3"/>
  <c r="W13" i="4"/>
  <c r="D18" i="12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C6" i="3"/>
  <c r="B6" i="3"/>
  <c r="AJ5" i="3"/>
  <c r="C5" i="3"/>
  <c r="B5" i="3"/>
  <c r="AJ4" i="3"/>
  <c r="W6" i="4"/>
  <c r="D36" i="12"/>
  <c r="C4" i="3"/>
  <c r="B4" i="3"/>
  <c r="AJ3" i="3"/>
  <c r="C3" i="3"/>
  <c r="B3" i="3"/>
  <c r="AJ2" i="3"/>
  <c r="C2" i="3"/>
  <c r="B2" i="3"/>
  <c r="A2" i="3"/>
  <c r="N9" i="1"/>
  <c r="M9" i="1" s="1"/>
  <c r="B10" i="8"/>
  <c r="B3" i="1"/>
  <c r="B7" i="8"/>
  <c r="M3" i="1"/>
  <c r="B4" i="8"/>
  <c r="P3" i="1"/>
  <c r="W8" i="4"/>
  <c r="D38" i="12"/>
  <c r="W16" i="4"/>
  <c r="D19" i="12"/>
  <c r="W24" i="4"/>
  <c r="D32" i="12"/>
  <c r="W32" i="4"/>
  <c r="D9" i="12"/>
  <c r="W40" i="4"/>
  <c r="D42" i="12"/>
  <c r="W17" i="4"/>
  <c r="D29" i="12"/>
  <c r="W25" i="4"/>
  <c r="D27" i="12"/>
  <c r="W33" i="4"/>
  <c r="D11" i="12"/>
  <c r="W41" i="4"/>
  <c r="D43" i="12"/>
  <c r="W11" i="4"/>
  <c r="D6" i="12"/>
  <c r="W19" i="4"/>
  <c r="D14" i="12"/>
  <c r="W27" i="4"/>
  <c r="D39" i="12"/>
  <c r="W35" i="4"/>
  <c r="D8" i="12"/>
  <c r="W43" i="4"/>
  <c r="D45" i="12"/>
  <c r="W10" i="4"/>
  <c r="D21" i="12"/>
  <c r="W18" i="4"/>
  <c r="D30" i="12"/>
  <c r="W26" i="4"/>
  <c r="D23" i="12"/>
  <c r="W34" i="4"/>
  <c r="D22" i="12"/>
  <c r="W42" i="4"/>
  <c r="D44" i="12"/>
  <c r="W28" i="4"/>
  <c r="D20" i="12"/>
  <c r="W36" i="4"/>
  <c r="D26" i="12"/>
  <c r="K40" i="1"/>
  <c r="D37" i="1"/>
  <c r="D40" i="1"/>
  <c r="B40" i="1"/>
  <c r="B37" i="1"/>
  <c r="K37" i="1"/>
  <c r="W12" i="4"/>
  <c r="D12" i="12"/>
  <c r="W20" i="4"/>
  <c r="D28" i="12"/>
  <c r="W7" i="4"/>
  <c r="D13" i="12"/>
  <c r="W15" i="4"/>
  <c r="D25" i="12"/>
  <c r="W23" i="4"/>
  <c r="D15" i="12"/>
  <c r="W31" i="4"/>
  <c r="D17" i="12"/>
  <c r="W39" i="4"/>
  <c r="D41" i="12"/>
  <c r="W9" i="4"/>
  <c r="D24" i="12"/>
  <c r="W5" i="4"/>
  <c r="D10" i="12"/>
  <c r="W4" i="4"/>
  <c r="B33" i="1"/>
  <c r="B27" i="1"/>
  <c r="C18" i="1"/>
  <c r="B18" i="1" s="1"/>
  <c r="C9" i="1"/>
  <c r="B9" i="1" s="1"/>
  <c r="C20" i="1"/>
  <c r="B20" i="1" s="1"/>
  <c r="B26" i="1"/>
  <c r="C17" i="1"/>
  <c r="B17" i="1" s="1"/>
  <c r="C14" i="1"/>
  <c r="B14" i="1" s="1"/>
  <c r="C25" i="1"/>
  <c r="B25" i="1" s="1"/>
  <c r="C16" i="1"/>
  <c r="B16" i="1" s="1"/>
  <c r="C24" i="1"/>
  <c r="B24" i="1" s="1"/>
  <c r="C10" i="1"/>
  <c r="B10" i="1" s="1"/>
  <c r="C23" i="1"/>
  <c r="B23" i="1" s="1"/>
  <c r="C13" i="1"/>
  <c r="B13" i="1" s="1"/>
  <c r="C22" i="1"/>
  <c r="B22" i="1" s="1"/>
  <c r="C12" i="1"/>
  <c r="B12" i="1" s="1"/>
  <c r="C11" i="1"/>
  <c r="B11" i="1" s="1"/>
  <c r="C19" i="1"/>
  <c r="B19" i="1" s="1"/>
  <c r="N47" i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M40" i="1"/>
  <c r="N32" i="1"/>
  <c r="M32" i="1" s="1"/>
  <c r="N21" i="1"/>
  <c r="M21" i="1" s="1"/>
  <c r="N12" i="1"/>
  <c r="M12" i="1" s="1"/>
  <c r="N29" i="1"/>
  <c r="M29" i="1" s="1"/>
  <c r="N39" i="1"/>
  <c r="M39" i="1" s="1"/>
  <c r="N30" i="1"/>
  <c r="M30" i="1" s="1"/>
  <c r="N20" i="1"/>
  <c r="M20" i="1" s="1"/>
  <c r="N11" i="1"/>
  <c r="M11" i="1" s="1"/>
  <c r="N38" i="1"/>
  <c r="M38" i="1" s="1"/>
  <c r="N19" i="1"/>
  <c r="M19" i="1" s="1"/>
  <c r="N37" i="1"/>
  <c r="M37" i="1" s="1"/>
  <c r="N28" i="1"/>
  <c r="M28" i="1" s="1"/>
  <c r="N18" i="1"/>
  <c r="M18" i="1" s="1"/>
  <c r="N25" i="1"/>
  <c r="M25" i="1" s="1"/>
  <c r="N17" i="1"/>
  <c r="M17" i="1" s="1"/>
  <c r="N35" i="1"/>
  <c r="M35" i="1" s="1"/>
  <c r="N24" i="1"/>
  <c r="M24" i="1" s="1"/>
  <c r="N16" i="1"/>
  <c r="M16" i="1" s="1"/>
  <c r="N44" i="1"/>
  <c r="M44" i="1" s="1"/>
  <c r="N36" i="1"/>
  <c r="M36" i="1" s="1"/>
  <c r="N10" i="1"/>
  <c r="M10" i="1" s="1"/>
  <c r="N43" i="1"/>
  <c r="M43" i="1" s="1"/>
  <c r="M47" i="1"/>
  <c r="B45" i="1"/>
  <c r="B2" i="1"/>
  <c r="O47" i="1"/>
  <c r="K42" i="1"/>
  <c r="D35" i="12"/>
  <c r="Y40" i="4" a="1"/>
  <c r="Y40" i="4" s="1"/>
  <c r="F42" i="12" s="1"/>
  <c r="Y38" i="4" a="1"/>
  <c r="Y38" i="4" s="1"/>
  <c r="F40" i="12" s="1"/>
  <c r="Y27" i="4" a="1"/>
  <c r="Y27" i="4" s="1"/>
  <c r="F39" i="12" s="1"/>
  <c r="Y19" i="4" a="1"/>
  <c r="Y19" i="4" s="1"/>
  <c r="F14" i="12" s="1"/>
  <c r="Y13" i="4" a="1"/>
  <c r="Y13" i="4" s="1"/>
  <c r="F18" i="12" s="1"/>
  <c r="Y35" i="4" a="1"/>
  <c r="Y35" i="4" s="1"/>
  <c r="F8" i="12" s="1"/>
  <c r="Y42" i="4" a="1"/>
  <c r="Y42" i="4" s="1"/>
  <c r="F44" i="12" s="1"/>
  <c r="Y26" i="4" a="1"/>
  <c r="Y26" i="4" s="1"/>
  <c r="F23" i="12" s="1"/>
  <c r="Y30" i="4" a="1"/>
  <c r="Y30" i="4" s="1"/>
  <c r="F37" i="12" s="1"/>
  <c r="Y37" i="4" a="1"/>
  <c r="Y37" i="4" s="1"/>
  <c r="F34" i="12" s="1"/>
  <c r="Y8" i="4" a="1"/>
  <c r="Y8" i="4" s="1"/>
  <c r="F38" i="12" s="1"/>
  <c r="Y14" i="4" a="1"/>
  <c r="Y14" i="4" s="1"/>
  <c r="F16" i="12" s="1"/>
  <c r="Y9" i="4" a="1"/>
  <c r="Y9" i="4" s="1"/>
  <c r="F24" i="12" s="1"/>
  <c r="Y10" i="4" a="1"/>
  <c r="Y10" i="4" s="1"/>
  <c r="F21" i="12" s="1"/>
  <c r="Y17" i="4" a="1"/>
  <c r="Y17" i="4" s="1"/>
  <c r="F29" i="12" s="1"/>
  <c r="Y34" i="4" a="1"/>
  <c r="Y34" i="4" s="1"/>
  <c r="F22" i="12" s="1"/>
  <c r="Y20" i="4" a="1"/>
  <c r="Y20" i="4" s="1"/>
  <c r="F28" i="12" s="1"/>
  <c r="Y25" i="4" a="1"/>
  <c r="Y25" i="4" s="1"/>
  <c r="F27" i="12" s="1"/>
  <c r="Y18" i="4" a="1"/>
  <c r="Y18" i="4" s="1"/>
  <c r="F30" i="12" s="1"/>
  <c r="Y15" i="4" a="1"/>
  <c r="Y15" i="4" s="1"/>
  <c r="F25" i="12" s="1"/>
  <c r="Y29" i="4" a="1"/>
  <c r="Y29" i="4" s="1"/>
  <c r="F33" i="12" s="1"/>
  <c r="Y33" i="4" a="1"/>
  <c r="Y33" i="4" s="1"/>
  <c r="Y41" i="4" a="1"/>
  <c r="Y41" i="4" s="1"/>
  <c r="F43" i="12" s="1"/>
  <c r="Y24" i="4" a="1"/>
  <c r="Y24" i="4" s="1"/>
  <c r="F32" i="12" s="1"/>
  <c r="Y6" i="4" a="1"/>
  <c r="Y6" i="4" s="1"/>
  <c r="F36" i="12" s="1"/>
  <c r="Y28" i="4" a="1"/>
  <c r="Y28" i="4" s="1"/>
  <c r="F20" i="12" s="1"/>
  <c r="Y16" i="4" a="1"/>
  <c r="Y16" i="4" s="1"/>
  <c r="F19" i="12" s="1"/>
  <c r="Y43" i="4" a="1"/>
  <c r="Y43" i="4" s="1"/>
  <c r="F45" i="12" s="1"/>
  <c r="Y21" i="4" a="1"/>
  <c r="Y21" i="4" s="1"/>
  <c r="F31" i="12" s="1"/>
  <c r="Y7" i="4" a="1"/>
  <c r="Y7" i="4" s="1"/>
  <c r="F13" i="12" s="1"/>
  <c r="Y31" i="4" a="1"/>
  <c r="Y31" i="4" s="1"/>
  <c r="F17" i="12" s="1"/>
  <c r="Y36" i="4" a="1"/>
  <c r="Y36" i="4" s="1"/>
  <c r="F26" i="12" s="1"/>
  <c r="Y5" i="4" a="1"/>
  <c r="Y5" i="4" s="1"/>
  <c r="F10" i="12" s="1"/>
  <c r="Y4" i="4" a="1"/>
  <c r="Y4" i="4" s="1"/>
  <c r="F35" i="12" s="1"/>
  <c r="Y12" i="4" a="1"/>
  <c r="Y12" i="4" s="1"/>
  <c r="F12" i="12" s="1"/>
  <c r="Y22" i="4" a="1"/>
  <c r="Y22" i="4" s="1"/>
  <c r="F7" i="12" s="1"/>
  <c r="Y39" i="4" a="1"/>
  <c r="Y39" i="4" s="1"/>
  <c r="F41" i="12" s="1"/>
  <c r="Y32" i="4" a="1"/>
  <c r="Y32" i="4" s="1"/>
  <c r="F9" i="12" s="1"/>
  <c r="Y23" i="4" a="1"/>
  <c r="Y23" i="4" s="1"/>
  <c r="F15" i="12" s="1"/>
  <c r="Y11" i="4" a="1"/>
  <c r="Y11" i="4" s="1"/>
  <c r="F6" i="12" s="1"/>
  <c r="B42" i="1" l="1"/>
  <c r="F11" i="12"/>
</calcChain>
</file>

<file path=xl/sharedStrings.xml><?xml version="1.0" encoding="utf-8"?>
<sst xmlns="http://schemas.openxmlformats.org/spreadsheetml/2006/main" count="516" uniqueCount="357">
  <si>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</si>
  <si>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</si>
  <si>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</si>
  <si>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</si>
  <si>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</si>
  <si>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</si>
  <si>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</si>
  <si>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</si>
  <si>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</si>
  <si>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</si>
  <si>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</si>
  <si>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</si>
  <si>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</si>
  <si>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</si>
  <si>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</si>
  <si>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</si>
  <si>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</si>
  <si>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</si>
  <si>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</si>
  <si>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</si>
  <si>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</si>
  <si>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</si>
  <si>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</si>
  <si>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</si>
  <si>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</si>
  <si>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</si>
  <si>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</si>
  <si>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</si>
  <si>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</si>
  <si>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</si>
  <si>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</si>
  <si>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</si>
  <si>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</si>
  <si>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</si>
  <si>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</si>
  <si>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</si>
  <si>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</si>
  <si>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</si>
  <si>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</si>
  <si>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</si>
  <si>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</si>
  <si>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</si>
  <si>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</si>
  <si>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</si>
  <si>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</si>
  <si>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</si>
  <si>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</si>
  <si>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</si>
  <si>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</si>
  <si>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</si>
  <si>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</si>
  <si>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</si>
  <si>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</si>
  <si>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</si>
  <si>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</si>
  <si>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</si>
  <si>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</si>
  <si>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</si>
  <si>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</si>
  <si>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</si>
  <si>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</si>
  <si>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</si>
  <si>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</si>
  <si>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</si>
  <si>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</si>
  <si>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</si>
  <si>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</si>
  <si>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</si>
  <si>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</si>
  <si>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</si>
  <si>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</si>
  <si>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</si>
  <si>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</si>
  <si>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</si>
  <si>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</si>
  <si>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</si>
  <si>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</si>
  <si>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</si>
  <si>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</si>
  <si>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</si>
  <si>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</si>
  <si>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</si>
  <si>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</si>
  <si>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</si>
  <si>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</si>
  <si>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</si>
  <si>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</si>
  <si>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</si>
  <si>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</si>
  <si>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</si>
  <si>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</si>
  <si>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</si>
  <si>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</si>
  <si>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</si>
  <si>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</si>
  <si>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</si>
  <si>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</si>
  <si>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</si>
  <si>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</si>
  <si>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</si>
  <si>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</si>
  <si>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</si>
  <si>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</si>
  <si>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</si>
  <si>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</si>
  <si>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</si>
  <si>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</si>
  <si>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</si>
  <si>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</si>
  <si>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</si>
  <si>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</si>
  <si>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</si>
  <si>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</si>
  <si>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</si>
  <si>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</si>
  <si>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</si>
  <si>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</si>
  <si>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</si>
  <si>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</si>
  <si>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</si>
  <si>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</si>
  <si>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</si>
  <si>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</si>
  <si>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</si>
  <si>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</si>
  <si>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</si>
  <si>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</si>
  <si>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</si>
  <si>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</si>
  <si>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</si>
  <si>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</si>
  <si>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</si>
  <si>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</si>
  <si>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</si>
  <si>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</si>
  <si>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</si>
  <si>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</si>
  <si>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</si>
  <si>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</si>
  <si>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</si>
  <si>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</si>
  <si>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</si>
  <si>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</si>
  <si>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</si>
  <si>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</si>
  <si>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</si>
  <si>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</si>
  <si>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</si>
  <si>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</si>
  <si>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</si>
  <si>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</si>
  <si>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</si>
  <si>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</si>
  <si>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</si>
  <si>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</si>
  <si>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</si>
  <si>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</si>
  <si>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</si>
  <si>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</si>
  <si>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</si>
  <si>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</si>
  <si>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</si>
  <si>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</si>
  <si>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</si>
  <si>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</si>
  <si>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</si>
  <si>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</si>
  <si>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</si>
  <si>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</si>
  <si>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</si>
  <si>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</si>
  <si>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</si>
  <si>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</si>
  <si>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</si>
  <si>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</si>
  <si>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</si>
  <si>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</si>
  <si>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</si>
  <si>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</si>
  <si>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</si>
  <si>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</si>
  <si>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</si>
  <si>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</si>
  <si>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</si>
  <si>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</si>
  <si>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</si>
  <si>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</si>
  <si>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</si>
  <si>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</si>
  <si>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</si>
  <si>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</si>
  <si>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</si>
  <si>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</si>
  <si>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</si>
  <si>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</si>
  <si>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</si>
  <si>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</si>
  <si>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</si>
  <si>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</si>
  <si>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</si>
  <si>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</si>
  <si>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</si>
  <si>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</si>
  <si>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</si>
  <si>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</si>
  <si>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</si>
  <si>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</si>
  <si>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</si>
  <si>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</si>
  <si>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</si>
  <si>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</si>
  <si>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</si>
  <si>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</si>
  <si>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</si>
  <si>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</si>
  <si>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</si>
  <si>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</si>
  <si>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</si>
  <si>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</si>
  <si>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</si>
  <si>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</si>
  <si>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</si>
  <si>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</si>
  <si>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</si>
  <si>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</si>
  <si>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</si>
  <si>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</si>
  <si>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</si>
  <si>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</si>
  <si>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</si>
  <si>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</si>
  <si>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</si>
  <si>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</si>
  <si>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</si>
  <si>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</si>
  <si>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</si>
  <si>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</si>
  <si>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</si>
  <si>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</si>
  <si>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</si>
  <si>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</si>
  <si>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</si>
  <si>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</si>
  <si>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</si>
  <si>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</si>
  <si>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</si>
  <si>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</si>
  <si>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</si>
  <si>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</si>
  <si>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</si>
  <si>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</si>
  <si>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</si>
  <si>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</si>
  <si>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</si>
  <si>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</si>
  <si>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</si>
  <si>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</si>
  <si>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</si>
  <si>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</si>
  <si>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</si>
  <si>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</si>
  <si>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</si>
  <si>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</si>
  <si>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</si>
  <si>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</si>
  <si>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</si>
  <si>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</si>
  <si>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</si>
  <si>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</si>
  <si>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</si>
  <si>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</si>
  <si>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</si>
  <si>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</si>
  <si>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</si>
  <si>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</si>
  <si>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</si>
  <si>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</si>
  <si>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</si>
  <si>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</si>
  <si>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</si>
  <si>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</si>
  <si>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</si>
  <si>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</si>
  <si>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</si>
  <si>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</si>
  <si>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</si>
  <si>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</si>
  <si>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الخامس د للبنات</t>
  </si>
  <si>
    <t>AISYAH DZAKIYYAH</t>
  </si>
  <si>
    <t>1204</t>
  </si>
  <si>
    <t>ALINTRI SIFFA MULYANA</t>
  </si>
  <si>
    <t>1205</t>
  </si>
  <si>
    <t>ANDINI DAHLIANI</t>
  </si>
  <si>
    <t>1206</t>
  </si>
  <si>
    <t>ANGGITA RAMALIA</t>
  </si>
  <si>
    <t>1207</t>
  </si>
  <si>
    <t>AYUDYA LESTARI</t>
  </si>
  <si>
    <t>1208</t>
  </si>
  <si>
    <t>CAHYANI WULANDARI</t>
  </si>
  <si>
    <t>1209</t>
  </si>
  <si>
    <t>CINDY RAHMANATI</t>
  </si>
  <si>
    <t>1210</t>
  </si>
  <si>
    <t>DEWI AMELLIA</t>
  </si>
  <si>
    <t>1211</t>
  </si>
  <si>
    <t>EGIDIA AGISTA NOVELIN</t>
  </si>
  <si>
    <t>1212</t>
  </si>
  <si>
    <t>ELSA MARDIANA</t>
  </si>
  <si>
    <t>1213</t>
  </si>
  <si>
    <t>ERINA ANGGRAENI</t>
  </si>
  <si>
    <t>1214</t>
  </si>
  <si>
    <t>FAHIRA IKMALIA HADI</t>
  </si>
  <si>
    <t>1215</t>
  </si>
  <si>
    <t>FANI RISKA VIANA</t>
  </si>
  <si>
    <t>1216</t>
  </si>
  <si>
    <t>FIKA NUR AMELIA</t>
  </si>
  <si>
    <t>1217</t>
  </si>
  <si>
    <t>INDAH MAWADDAH</t>
  </si>
  <si>
    <t>1218</t>
  </si>
  <si>
    <t>INTAN NURRIZKA</t>
  </si>
  <si>
    <t>1219</t>
  </si>
  <si>
    <t>KEISYA AURA RUSDIANSYAH</t>
  </si>
  <si>
    <t>1220</t>
  </si>
  <si>
    <t>LESTIANA LUXMY MADINA NUSA</t>
  </si>
  <si>
    <t>1221</t>
  </si>
  <si>
    <t>MEIRIN NUR SANDRILA</t>
  </si>
  <si>
    <t>1222</t>
  </si>
  <si>
    <t>NAJWA KHOERUNNISA</t>
  </si>
  <si>
    <t>1223</t>
  </si>
  <si>
    <t>NAJWA ZAHROTUNNISA</t>
  </si>
  <si>
    <t>1224</t>
  </si>
  <si>
    <t>NANDA HAMIDAH</t>
  </si>
  <si>
    <t>1225</t>
  </si>
  <si>
    <t>NOVA AULIA RITONGA</t>
  </si>
  <si>
    <t>1226</t>
  </si>
  <si>
    <t>NUR AFNI OKTAFIYANTI</t>
  </si>
  <si>
    <t>1227</t>
  </si>
  <si>
    <t>NURIYANTI</t>
  </si>
  <si>
    <t>1228</t>
  </si>
  <si>
    <t>RAMINAH</t>
  </si>
  <si>
    <t>1229</t>
  </si>
  <si>
    <t>RAYNA NURUL AUDINA</t>
  </si>
  <si>
    <t>1230</t>
  </si>
  <si>
    <t>REIFA AULIA NURFAUZA</t>
  </si>
  <si>
    <t>1231</t>
  </si>
  <si>
    <t>SALIS FIJRIYANI</t>
  </si>
  <si>
    <t>1232</t>
  </si>
  <si>
    <t>SITI ADLAH</t>
  </si>
  <si>
    <t>1233</t>
  </si>
  <si>
    <t>SITI NURHALISAH</t>
  </si>
  <si>
    <t>1234</t>
  </si>
  <si>
    <t>TIA FATHATUL MUTHOHAROH</t>
  </si>
  <si>
    <t>1235</t>
  </si>
  <si>
    <t>VHISCA FAMELA ERICA</t>
  </si>
  <si>
    <t>1236</t>
  </si>
  <si>
    <t>ZAHROTUL AWWALIYAH</t>
  </si>
  <si>
    <t>1237</t>
  </si>
  <si>
    <t xml:space="preserve"> الأستاذ سيف العلوي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</si>
</sst>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0" fillId="0" borderId="0"/>
  </cellStyleXfs>
  <cellXfs count="26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2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166" fontId="9" fillId="0" borderId="0" xfId="0" applyNumberFormat="1" applyFont="1" applyAlignment="1">
      <alignment horizontal="center" vertical="center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inden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29" fillId="0" borderId="24" xfId="0" applyFont="1" applyBorder="1" applyAlignment="1">
      <alignment horizontal="center" vertical="center" readingOrder="2"/>
    </xf>
    <xf numFmtId="0" fontId="29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1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7" max="30000" page="10" val="34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34" val="29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2</xdr:row>
      <xdr:rowOff>236279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>
          <a:off x="3695698" y="471229"/>
          <a:ext cx="330127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7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7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7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7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7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7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898071</xdr:colOff>
      <xdr:row>52</xdr:row>
      <xdr:rowOff>99786</xdr:rowOff>
    </xdr:from>
    <xdr:to>
      <xdr:col>14</xdr:col>
      <xdr:colOff>130629</xdr:colOff>
      <xdr:row>56</xdr:row>
      <xdr:rowOff>96883</xdr:rowOff>
    </xdr:to>
    <xdr:pic>
      <xdr:nvPicPr>
        <xdr:cNvPr id="2" name="Gambar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10368643"/>
          <a:ext cx="1727200" cy="90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7" zoomScaleNormal="100" workbookViewId="0">
      <selection activeCell="C19" sqref="C19:D20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7265625" style="20" customWidth="1"/>
    <col min="5" max="5" width="2.453125" style="20" customWidth="1"/>
    <col min="6" max="6" width="24.1796875" style="20" customWidth="1"/>
    <col min="7" max="16384" width="8.7265625" style="20"/>
  </cols>
  <sheetData>
    <row r="1" spans="1:12" x14ac:dyDescent="0.35">
      <c r="C1" s="123" t="s">
        <v>174</v>
      </c>
      <c r="D1" s="123"/>
      <c r="E1" s="123"/>
      <c r="F1" s="123"/>
      <c r="G1" s="123"/>
    </row>
    <row r="2" spans="1:12" x14ac:dyDescent="0.35">
      <c r="C2" s="123"/>
      <c r="D2" s="123"/>
      <c r="E2" s="123"/>
      <c r="F2" s="123"/>
      <c r="G2" s="123"/>
    </row>
    <row r="3" spans="1:12" ht="7.5" customHeight="1" x14ac:dyDescent="0.35">
      <c r="C3" s="124"/>
      <c r="D3" s="125"/>
      <c r="E3" s="125"/>
      <c r="F3" s="125"/>
      <c r="G3" s="126"/>
    </row>
    <row r="4" spans="1:12" ht="21" x14ac:dyDescent="0.35">
      <c r="A4" s="20" t="s">
        <v>97</v>
      </c>
      <c r="B4" s="20" t="str">
        <f>CONCATENATE(F4," ",E4," ",C4)</f>
        <v>الصف  : الخامس د للبنات</v>
      </c>
      <c r="C4" s="119" t="s">
        <v>287</v>
      </c>
      <c r="D4" s="119"/>
      <c r="E4" s="119" t="s">
        <v>155</v>
      </c>
      <c r="F4" s="58" t="s">
        <v>154</v>
      </c>
      <c r="G4" s="118">
        <v>1</v>
      </c>
    </row>
    <row r="5" spans="1:12" x14ac:dyDescent="0.35">
      <c r="C5" s="119"/>
      <c r="D5" s="119"/>
      <c r="E5" s="119"/>
      <c r="F5" s="57" t="s">
        <v>159</v>
      </c>
      <c r="G5" s="118"/>
    </row>
    <row r="6" spans="1:12" ht="7" customHeight="1" x14ac:dyDescent="0.35">
      <c r="C6" s="117"/>
      <c r="D6" s="117"/>
      <c r="E6" s="117"/>
      <c r="F6" s="117"/>
      <c r="G6" s="117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7" t="s">
        <v>282</v>
      </c>
      <c r="D7" s="127"/>
      <c r="E7" s="119" t="s">
        <v>155</v>
      </c>
      <c r="F7" s="58" t="s">
        <v>166</v>
      </c>
      <c r="G7" s="118">
        <v>2</v>
      </c>
    </row>
    <row r="8" spans="1:12" ht="21.65" customHeight="1" x14ac:dyDescent="0.35">
      <c r="C8" s="127"/>
      <c r="D8" s="127"/>
      <c r="E8" s="119"/>
      <c r="F8" s="57" t="s">
        <v>167</v>
      </c>
      <c r="G8" s="118"/>
    </row>
    <row r="9" spans="1:12" ht="7" customHeight="1" x14ac:dyDescent="0.35">
      <c r="C9" s="117"/>
      <c r="D9" s="117"/>
      <c r="E9" s="117"/>
      <c r="F9" s="117"/>
      <c r="G9" s="117"/>
    </row>
    <row r="10" spans="1:12" ht="26.5" customHeight="1" x14ac:dyDescent="0.5">
      <c r="A10" s="20" t="s">
        <v>97</v>
      </c>
      <c r="B10" s="20" t="str">
        <f>CONCATENATE(F10," : ",C11," ه"," \ ",C10," م")</f>
        <v>العام الدراسي : ١٤٤٤ - ١٤٤٥ ه \ ٢٠٢٣ - ٢٠٢٤ م</v>
      </c>
      <c r="C10" s="128" t="s">
        <v>283</v>
      </c>
      <c r="D10" s="128"/>
      <c r="E10" s="119" t="s">
        <v>155</v>
      </c>
      <c r="F10" s="56" t="s">
        <v>156</v>
      </c>
      <c r="G10" s="118">
        <v>3</v>
      </c>
    </row>
    <row r="11" spans="1:12" ht="26.15" customHeight="1" x14ac:dyDescent="0.35">
      <c r="C11" s="116" t="s">
        <v>284</v>
      </c>
      <c r="D11" s="116"/>
      <c r="E11" s="119"/>
      <c r="F11" s="57" t="s">
        <v>158</v>
      </c>
      <c r="G11" s="118"/>
    </row>
    <row r="12" spans="1:12" ht="6.65" customHeight="1" x14ac:dyDescent="0.35">
      <c r="C12" s="117"/>
      <c r="D12" s="117"/>
      <c r="E12" s="117"/>
      <c r="F12" s="117"/>
      <c r="G12" s="117"/>
    </row>
    <row r="13" spans="1:12" ht="21" x14ac:dyDescent="0.5">
      <c r="C13" s="121" t="s">
        <v>285</v>
      </c>
      <c r="D13" s="122"/>
      <c r="E13" s="119" t="s">
        <v>155</v>
      </c>
      <c r="F13" s="56" t="s">
        <v>157</v>
      </c>
      <c r="G13" s="118">
        <v>4</v>
      </c>
      <c r="K13" s="54"/>
    </row>
    <row r="14" spans="1:12" ht="22.5" customHeight="1" x14ac:dyDescent="0.35">
      <c r="C14" s="122" t="s">
        <v>286</v>
      </c>
      <c r="D14" s="122"/>
      <c r="E14" s="119"/>
      <c r="F14" s="57" t="s">
        <v>160</v>
      </c>
      <c r="G14" s="118"/>
      <c r="K14" s="54"/>
    </row>
    <row r="15" spans="1:12" ht="6" customHeight="1" x14ac:dyDescent="0.35">
      <c r="C15" s="117"/>
      <c r="D15" s="117"/>
      <c r="E15" s="117"/>
      <c r="F15" s="117"/>
      <c r="G15" s="117"/>
    </row>
    <row r="16" spans="1:12" ht="21" x14ac:dyDescent="0.5">
      <c r="C16" s="116" t="s">
        <v>268</v>
      </c>
      <c r="D16" s="116"/>
      <c r="E16" s="119" t="s">
        <v>155</v>
      </c>
      <c r="F16" s="56" t="s">
        <v>162</v>
      </c>
      <c r="G16" s="118">
        <v>5</v>
      </c>
      <c r="K16" s="54"/>
      <c r="L16" s="54"/>
    </row>
    <row r="17" spans="3:12" x14ac:dyDescent="0.35">
      <c r="C17" s="116"/>
      <c r="D17" s="116"/>
      <c r="E17" s="119"/>
      <c r="F17" s="57" t="s">
        <v>164</v>
      </c>
      <c r="G17" s="118"/>
    </row>
    <row r="18" spans="3:12" ht="6" customHeight="1" x14ac:dyDescent="0.5">
      <c r="C18" s="120"/>
      <c r="D18" s="120"/>
      <c r="E18" s="120"/>
      <c r="F18" s="120"/>
      <c r="G18" s="120"/>
    </row>
    <row r="19" spans="3:12" ht="21" x14ac:dyDescent="0.5">
      <c r="C19" s="116" t="s">
        <v>356</v>
      </c>
      <c r="D19" s="116"/>
      <c r="E19" s="119" t="s">
        <v>155</v>
      </c>
      <c r="F19" s="56" t="s">
        <v>163</v>
      </c>
      <c r="G19" s="118">
        <v>6</v>
      </c>
    </row>
    <row r="20" spans="3:12" ht="15" customHeight="1" x14ac:dyDescent="0.35">
      <c r="C20" s="116"/>
      <c r="D20" s="116"/>
      <c r="E20" s="119"/>
      <c r="F20" s="55" t="s">
        <v>165</v>
      </c>
      <c r="G20" s="118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23" workbookViewId="0">
      <selection activeCell="B26" sqref="B26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14.81640625" style="20" customWidth="1"/>
    <col min="5" max="16384" width="8.7265625" style="20"/>
  </cols>
  <sheetData>
    <row r="1" spans="1:4" ht="27.65" customHeight="1" x14ac:dyDescent="0.35">
      <c r="A1" s="102" t="s">
        <v>76</v>
      </c>
      <c r="B1" s="10" t="s">
        <v>168</v>
      </c>
      <c r="C1" s="10" t="s">
        <v>169</v>
      </c>
      <c r="D1" s="10" t="s">
        <v>170</v>
      </c>
    </row>
    <row r="2" spans="1:4" x14ac:dyDescent="0.35">
      <c r="A2" s="8">
        <v>1</v>
      </c>
      <c r="B2" s="100" t="s">
        <v>288</v>
      </c>
      <c r="C2" s="101" t="s">
        <v>289</v>
      </c>
      <c r="D2" s="100"/>
    </row>
    <row r="3" spans="1:4" x14ac:dyDescent="0.35">
      <c r="A3" s="8">
        <v>2</v>
      </c>
      <c r="B3" s="100" t="s">
        <v>290</v>
      </c>
      <c r="C3" s="101" t="s">
        <v>291</v>
      </c>
      <c r="D3" s="100"/>
    </row>
    <row r="4" spans="1:4" x14ac:dyDescent="0.35">
      <c r="A4" s="8">
        <v>3</v>
      </c>
      <c r="B4" s="100" t="s">
        <v>292</v>
      </c>
      <c r="C4" s="101" t="s">
        <v>293</v>
      </c>
      <c r="D4" s="100"/>
    </row>
    <row r="5" spans="1:4" x14ac:dyDescent="0.35">
      <c r="A5" s="8">
        <v>4</v>
      </c>
      <c r="B5" s="100" t="s">
        <v>294</v>
      </c>
      <c r="C5" s="101" t="s">
        <v>295</v>
      </c>
      <c r="D5" s="100"/>
    </row>
    <row r="6" spans="1:4" x14ac:dyDescent="0.35">
      <c r="A6" s="8">
        <v>5</v>
      </c>
      <c r="B6" s="100" t="s">
        <v>296</v>
      </c>
      <c r="C6" s="101" t="s">
        <v>297</v>
      </c>
      <c r="D6" s="100"/>
    </row>
    <row r="7" spans="1:4" x14ac:dyDescent="0.35">
      <c r="A7" s="8">
        <v>6</v>
      </c>
      <c r="B7" s="100" t="s">
        <v>298</v>
      </c>
      <c r="C7" s="101" t="s">
        <v>299</v>
      </c>
      <c r="D7" s="100"/>
    </row>
    <row r="8" spans="1:4" x14ac:dyDescent="0.35">
      <c r="A8" s="8">
        <v>7</v>
      </c>
      <c r="B8" s="100" t="s">
        <v>300</v>
      </c>
      <c r="C8" s="101" t="s">
        <v>301</v>
      </c>
      <c r="D8" s="100"/>
    </row>
    <row r="9" spans="1:4" x14ac:dyDescent="0.35">
      <c r="A9" s="8">
        <v>8</v>
      </c>
      <c r="B9" s="100" t="s">
        <v>302</v>
      </c>
      <c r="C9" s="101" t="s">
        <v>303</v>
      </c>
      <c r="D9" s="100"/>
    </row>
    <row r="10" spans="1:4" x14ac:dyDescent="0.35">
      <c r="A10" s="8">
        <v>9</v>
      </c>
      <c r="B10" s="100" t="s">
        <v>304</v>
      </c>
      <c r="C10" s="101" t="s">
        <v>305</v>
      </c>
      <c r="D10" s="100"/>
    </row>
    <row r="11" spans="1:4" x14ac:dyDescent="0.35">
      <c r="A11" s="8">
        <v>10</v>
      </c>
      <c r="B11" s="100" t="s">
        <v>306</v>
      </c>
      <c r="C11" s="101" t="s">
        <v>307</v>
      </c>
      <c r="D11" s="100"/>
    </row>
    <row r="12" spans="1:4" x14ac:dyDescent="0.35">
      <c r="A12" s="8">
        <v>11</v>
      </c>
      <c r="B12" s="100" t="s">
        <v>308</v>
      </c>
      <c r="C12" s="101" t="s">
        <v>309</v>
      </c>
      <c r="D12" s="100"/>
    </row>
    <row r="13" spans="1:4" x14ac:dyDescent="0.35">
      <c r="A13" s="8">
        <v>12</v>
      </c>
      <c r="B13" s="100" t="s">
        <v>310</v>
      </c>
      <c r="C13" s="101" t="s">
        <v>311</v>
      </c>
      <c r="D13" s="100"/>
    </row>
    <row r="14" spans="1:4" x14ac:dyDescent="0.35">
      <c r="A14" s="8">
        <v>13</v>
      </c>
      <c r="B14" s="100" t="s">
        <v>312</v>
      </c>
      <c r="C14" s="101" t="s">
        <v>313</v>
      </c>
      <c r="D14" s="100"/>
    </row>
    <row r="15" spans="1:4" x14ac:dyDescent="0.35">
      <c r="A15" s="8">
        <v>14</v>
      </c>
      <c r="B15" s="100" t="s">
        <v>314</v>
      </c>
      <c r="C15" s="101" t="s">
        <v>315</v>
      </c>
      <c r="D15" s="100"/>
    </row>
    <row r="16" spans="1:4" x14ac:dyDescent="0.35">
      <c r="A16" s="8">
        <v>15</v>
      </c>
      <c r="B16" s="100" t="s">
        <v>316</v>
      </c>
      <c r="C16" s="101" t="s">
        <v>317</v>
      </c>
      <c r="D16" s="100"/>
    </row>
    <row r="17" spans="1:4" x14ac:dyDescent="0.35">
      <c r="A17" s="8">
        <v>16</v>
      </c>
      <c r="B17" s="100" t="s">
        <v>318</v>
      </c>
      <c r="C17" s="101" t="s">
        <v>319</v>
      </c>
      <c r="D17" s="100"/>
    </row>
    <row r="18" spans="1:4" x14ac:dyDescent="0.35">
      <c r="A18" s="8">
        <v>17</v>
      </c>
      <c r="B18" s="100" t="s">
        <v>320</v>
      </c>
      <c r="C18" s="101" t="s">
        <v>321</v>
      </c>
      <c r="D18" s="100"/>
    </row>
    <row r="19" spans="1:4" x14ac:dyDescent="0.35">
      <c r="A19" s="8">
        <v>18</v>
      </c>
      <c r="B19" s="100" t="s">
        <v>322</v>
      </c>
      <c r="C19" s="101" t="s">
        <v>323</v>
      </c>
      <c r="D19" s="100"/>
    </row>
    <row r="20" spans="1:4" x14ac:dyDescent="0.35">
      <c r="A20" s="8">
        <v>19</v>
      </c>
      <c r="B20" s="100" t="s">
        <v>324</v>
      </c>
      <c r="C20" s="101" t="s">
        <v>325</v>
      </c>
      <c r="D20" s="100"/>
    </row>
    <row r="21" spans="1:4" x14ac:dyDescent="0.35">
      <c r="A21" s="8">
        <v>20</v>
      </c>
      <c r="B21" s="100" t="s">
        <v>326</v>
      </c>
      <c r="C21" s="101" t="s">
        <v>327</v>
      </c>
      <c r="D21" s="100"/>
    </row>
    <row r="22" spans="1:4" x14ac:dyDescent="0.35">
      <c r="A22" s="8">
        <v>21</v>
      </c>
      <c r="B22" s="100" t="s">
        <v>328</v>
      </c>
      <c r="C22" s="101" t="s">
        <v>329</v>
      </c>
      <c r="D22" s="100"/>
    </row>
    <row r="23" spans="1:4" x14ac:dyDescent="0.35">
      <c r="A23" s="8">
        <v>22</v>
      </c>
      <c r="B23" s="100" t="s">
        <v>330</v>
      </c>
      <c r="C23" s="101" t="s">
        <v>331</v>
      </c>
      <c r="D23" s="100"/>
    </row>
    <row r="24" spans="1:4" x14ac:dyDescent="0.35">
      <c r="A24" s="8">
        <v>23</v>
      </c>
      <c r="B24" s="100" t="s">
        <v>332</v>
      </c>
      <c r="C24" s="101" t="s">
        <v>333</v>
      </c>
      <c r="D24" s="100"/>
    </row>
    <row r="25" spans="1:4" x14ac:dyDescent="0.35">
      <c r="A25" s="8">
        <v>24</v>
      </c>
      <c r="B25" s="100" t="s">
        <v>334</v>
      </c>
      <c r="C25" s="101" t="s">
        <v>335</v>
      </c>
      <c r="D25" s="100"/>
    </row>
    <row r="26" spans="1:4" x14ac:dyDescent="0.35">
      <c r="A26" s="8">
        <v>25</v>
      </c>
      <c r="B26" s="100" t="s">
        <v>336</v>
      </c>
      <c r="C26" s="101" t="s">
        <v>337</v>
      </c>
      <c r="D26" s="100"/>
    </row>
    <row r="27" spans="1:4" x14ac:dyDescent="0.35">
      <c r="A27" s="8">
        <v>26</v>
      </c>
      <c r="B27" s="100" t="s">
        <v>338</v>
      </c>
      <c r="C27" s="101" t="s">
        <v>339</v>
      </c>
      <c r="D27" s="100"/>
    </row>
    <row r="28" spans="1:4" x14ac:dyDescent="0.35">
      <c r="A28" s="8">
        <v>27</v>
      </c>
      <c r="B28" s="100" t="s">
        <v>340</v>
      </c>
      <c r="C28" s="101" t="s">
        <v>341</v>
      </c>
      <c r="D28" s="100"/>
    </row>
    <row r="29" spans="1:4" x14ac:dyDescent="0.35">
      <c r="A29" s="8">
        <v>28</v>
      </c>
      <c r="B29" s="100" t="s">
        <v>342</v>
      </c>
      <c r="C29" s="101" t="s">
        <v>343</v>
      </c>
      <c r="D29" s="100"/>
    </row>
    <row r="30" spans="1:4" x14ac:dyDescent="0.35">
      <c r="A30" s="8">
        <v>29</v>
      </c>
      <c r="B30" s="99" t="s">
        <v>344</v>
      </c>
      <c r="C30" s="72" t="s">
        <v>345</v>
      </c>
      <c r="D30" s="100"/>
    </row>
    <row r="31" spans="1:4" x14ac:dyDescent="0.35">
      <c r="A31" s="8">
        <v>30</v>
      </c>
      <c r="B31" s="100" t="s">
        <v>346</v>
      </c>
      <c r="C31" s="100" t="s">
        <v>347</v>
      </c>
      <c r="D31" s="100"/>
    </row>
    <row r="32" spans="1:4" x14ac:dyDescent="0.35">
      <c r="A32" s="8">
        <v>31</v>
      </c>
      <c r="B32" s="100" t="s">
        <v>348</v>
      </c>
      <c r="C32" s="100" t="s">
        <v>349</v>
      </c>
      <c r="D32" s="100"/>
    </row>
    <row r="33" spans="1:4" x14ac:dyDescent="0.35">
      <c r="A33" s="8">
        <v>32</v>
      </c>
      <c r="B33" s="100" t="s">
        <v>350</v>
      </c>
      <c r="C33" s="100" t="s">
        <v>351</v>
      </c>
      <c r="D33" s="100"/>
    </row>
    <row r="34" spans="1:4" x14ac:dyDescent="0.35">
      <c r="A34" s="8">
        <v>33</v>
      </c>
      <c r="B34" s="100" t="s">
        <v>352</v>
      </c>
      <c r="C34" s="100" t="s">
        <v>353</v>
      </c>
      <c r="D34" s="100"/>
    </row>
    <row r="35" spans="1:4" x14ac:dyDescent="0.35">
      <c r="A35" s="8">
        <v>34</v>
      </c>
      <c r="B35" s="100" t="s">
        <v>354</v>
      </c>
      <c r="C35" s="100" t="s">
        <v>355</v>
      </c>
      <c r="D35" s="100"/>
    </row>
    <row r="36" spans="1:4" x14ac:dyDescent="0.35">
      <c r="A36" s="8">
        <v>35</v>
      </c>
      <c r="B36" s="100"/>
      <c r="C36" s="100"/>
      <c r="D36" s="100"/>
    </row>
    <row r="37" spans="1:4" x14ac:dyDescent="0.35">
      <c r="A37" s="8">
        <v>36</v>
      </c>
      <c r="B37" s="100"/>
      <c r="C37" s="100"/>
      <c r="D37" s="100"/>
    </row>
    <row r="38" spans="1:4" x14ac:dyDescent="0.35">
      <c r="A38" s="8">
        <v>37</v>
      </c>
      <c r="B38" s="100"/>
      <c r="C38" s="100"/>
      <c r="D38" s="100"/>
    </row>
    <row r="39" spans="1:4" x14ac:dyDescent="0.35">
      <c r="A39" s="8">
        <v>38</v>
      </c>
      <c r="B39" s="100"/>
      <c r="C39" s="100"/>
      <c r="D39" s="100"/>
    </row>
    <row r="40" spans="1:4" x14ac:dyDescent="0.35">
      <c r="A40" s="8">
        <v>39</v>
      </c>
      <c r="B40" s="100"/>
      <c r="C40" s="100"/>
      <c r="D40" s="100"/>
    </row>
    <row r="41" spans="1:4" x14ac:dyDescent="0.35">
      <c r="A41" s="8">
        <v>40</v>
      </c>
      <c r="B41" s="100"/>
      <c r="C41" s="100"/>
      <c r="D41" s="100"/>
    </row>
  </sheetData>
  <sheetProtection algorithmName="SHA-512" hashValue="6L9gR8CYqmTVveN9L36NM1K6HfgvltbyTY84tk/XizLQJ4USezAlwPG1o4N5l4TstXe7rufHXlhZhqxqo7b/XQ==" saltValue="UMcRt3Zx4BWjoU0BveVHZ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topLeftCell="A3" zoomScaleNormal="100" workbookViewId="0">
      <selection activeCell="H36" sqref="H3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5" width="4.1796875" bestFit="1" customWidth="1"/>
    <col min="6" max="6" width="4.26953125" bestFit="1" customWidth="1"/>
    <col min="7" max="12" width="4.1796875" bestFit="1" customWidth="1"/>
    <col min="13" max="13" width="4.26953125" bestFit="1" customWidth="1"/>
    <col min="14" max="19" width="4.1796875" bestFit="1" customWidth="1"/>
    <col min="20" max="20" width="4.26953125" bestFit="1" customWidth="1"/>
    <col min="21" max="22" width="4.1796875" bestFit="1" customWidth="1"/>
    <col min="23" max="24" width="4.26953125" bestFit="1" customWidth="1"/>
    <col min="25" max="32" width="4.1796875" bestFit="1" customWidth="1"/>
    <col min="33" max="33" width="4.26953125" bestFit="1" customWidth="1"/>
    <col min="34" max="35" width="4.1796875" bestFit="1" customWidth="1"/>
    <col min="36" max="36" width="8.453125" customWidth="1"/>
    <col min="37" max="37" width="7.089843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8" t="str">
        <f>'Data Siswa'!B2</f>
        <v>AISYAH DZAKIYYAH</v>
      </c>
      <c r="C2" s="8" t="str">
        <f>'Data Siswa'!C2</f>
        <v>1204</v>
      </c>
      <c r="D2" s="15"/>
      <c r="E2" s="15">
        <v>4</v>
      </c>
      <c r="F2" s="15">
        <v>4.5</v>
      </c>
      <c r="G2" s="15">
        <v>5.5</v>
      </c>
      <c r="H2" s="15">
        <v>4.5</v>
      </c>
      <c r="I2" s="15">
        <v>6</v>
      </c>
      <c r="J2" s="15"/>
      <c r="K2" s="15">
        <v>6</v>
      </c>
      <c r="L2" s="15">
        <v>4</v>
      </c>
      <c r="M2" s="15">
        <v>7</v>
      </c>
      <c r="N2" s="15"/>
      <c r="O2" s="15">
        <v>5</v>
      </c>
      <c r="P2" s="15">
        <v>4</v>
      </c>
      <c r="Q2" s="15">
        <v>5</v>
      </c>
      <c r="R2" s="15">
        <v>5</v>
      </c>
      <c r="S2" s="15">
        <v>4.5</v>
      </c>
      <c r="T2" s="15">
        <v>6</v>
      </c>
      <c r="U2" s="15">
        <v>7</v>
      </c>
      <c r="V2" s="15">
        <v>5</v>
      </c>
      <c r="W2" s="15">
        <v>7</v>
      </c>
      <c r="X2" s="15">
        <v>8</v>
      </c>
      <c r="Y2" s="15">
        <v>7.5</v>
      </c>
      <c r="Z2" s="15">
        <v>8.5</v>
      </c>
      <c r="AA2" s="15">
        <v>6</v>
      </c>
      <c r="AB2" s="113"/>
      <c r="AC2" s="113"/>
      <c r="AD2" s="113"/>
      <c r="AE2" s="15">
        <v>8</v>
      </c>
      <c r="AF2" s="15">
        <v>8.5</v>
      </c>
      <c r="AG2" s="15">
        <v>7</v>
      </c>
      <c r="AH2" s="15">
        <v>8</v>
      </c>
      <c r="AI2" s="15"/>
      <c r="AJ2" s="16">
        <f t="shared" ref="AJ2:AJ41" si="0">SUM(D2:AI2)</f>
        <v>151.5</v>
      </c>
      <c r="AK2" s="65">
        <f>AVERAGE(D2:AI2)</f>
        <v>6.06</v>
      </c>
    </row>
    <row r="3" spans="1:37" ht="15.5" x14ac:dyDescent="0.35">
      <c r="A3" s="8">
        <f>'Data Siswa'!A3</f>
        <v>2</v>
      </c>
      <c r="B3" s="78" t="str">
        <f>'Data Siswa'!B3</f>
        <v>ALINTRI SIFFA MULYANA</v>
      </c>
      <c r="C3" s="8" t="str">
        <f>'Data Siswa'!C3</f>
        <v>1205</v>
      </c>
      <c r="D3" s="15">
        <v>8</v>
      </c>
      <c r="E3" s="15">
        <v>5.5</v>
      </c>
      <c r="F3" s="15">
        <v>5</v>
      </c>
      <c r="G3" s="15">
        <v>7</v>
      </c>
      <c r="H3" s="15">
        <v>8</v>
      </c>
      <c r="I3" s="15">
        <v>7</v>
      </c>
      <c r="J3" s="15">
        <v>5</v>
      </c>
      <c r="K3" s="15">
        <v>5</v>
      </c>
      <c r="L3" s="15">
        <v>5</v>
      </c>
      <c r="M3" s="15">
        <v>7</v>
      </c>
      <c r="N3" s="15">
        <v>7.5</v>
      </c>
      <c r="O3" s="15">
        <v>5</v>
      </c>
      <c r="P3" s="15">
        <v>6</v>
      </c>
      <c r="Q3" s="15">
        <v>6</v>
      </c>
      <c r="R3" s="15">
        <v>5</v>
      </c>
      <c r="S3" s="15">
        <v>4.5</v>
      </c>
      <c r="T3" s="15">
        <v>7</v>
      </c>
      <c r="U3" s="15">
        <v>6</v>
      </c>
      <c r="V3" s="15">
        <v>8</v>
      </c>
      <c r="W3" s="15">
        <v>8</v>
      </c>
      <c r="X3" s="15">
        <v>7</v>
      </c>
      <c r="Y3" s="15">
        <v>7.5</v>
      </c>
      <c r="Z3" s="15">
        <v>8.5</v>
      </c>
      <c r="AA3" s="15">
        <v>6</v>
      </c>
      <c r="AB3" s="113"/>
      <c r="AC3" s="113"/>
      <c r="AD3" s="113"/>
      <c r="AE3" s="15">
        <v>8</v>
      </c>
      <c r="AF3" s="15">
        <v>8</v>
      </c>
      <c r="AG3" s="15">
        <v>6.5</v>
      </c>
      <c r="AH3" s="15">
        <v>8</v>
      </c>
      <c r="AI3" s="15">
        <v>6</v>
      </c>
      <c r="AJ3" s="16">
        <f t="shared" si="0"/>
        <v>191</v>
      </c>
      <c r="AK3" s="65">
        <f t="shared" ref="AK3:AK41" si="1">AVERAGE(D3:AI3)</f>
        <v>6.5862068965517242</v>
      </c>
    </row>
    <row r="4" spans="1:37" ht="15.5" x14ac:dyDescent="0.35">
      <c r="A4" s="8">
        <f>'Data Siswa'!A4</f>
        <v>3</v>
      </c>
      <c r="B4" s="78" t="str">
        <f>'Data Siswa'!B4</f>
        <v>ANDINI DAHLIANI</v>
      </c>
      <c r="C4" s="8" t="str">
        <f>'Data Siswa'!C4</f>
        <v>1206</v>
      </c>
      <c r="D4" s="15">
        <v>4</v>
      </c>
      <c r="E4" s="15">
        <v>5</v>
      </c>
      <c r="F4" s="15">
        <v>4</v>
      </c>
      <c r="G4" s="15">
        <v>4</v>
      </c>
      <c r="H4" s="15">
        <v>4.5</v>
      </c>
      <c r="I4" s="15">
        <v>4.5</v>
      </c>
      <c r="J4" s="15">
        <v>4</v>
      </c>
      <c r="K4" s="15">
        <v>4</v>
      </c>
      <c r="L4" s="15">
        <v>4</v>
      </c>
      <c r="M4" s="15">
        <v>4</v>
      </c>
      <c r="N4" s="15">
        <v>4.5</v>
      </c>
      <c r="O4" s="15">
        <v>4</v>
      </c>
      <c r="P4" s="15">
        <v>4</v>
      </c>
      <c r="Q4" s="15">
        <v>4</v>
      </c>
      <c r="R4" s="15">
        <v>5</v>
      </c>
      <c r="S4" s="15">
        <v>4</v>
      </c>
      <c r="T4" s="15">
        <v>6</v>
      </c>
      <c r="U4" s="15">
        <v>7</v>
      </c>
      <c r="V4" s="15">
        <v>4</v>
      </c>
      <c r="W4" s="15">
        <v>7</v>
      </c>
      <c r="X4" s="15">
        <v>8</v>
      </c>
      <c r="Y4" s="15">
        <v>6.5</v>
      </c>
      <c r="Z4" s="15">
        <v>7.5</v>
      </c>
      <c r="AA4" s="15">
        <v>6</v>
      </c>
      <c r="AB4" s="113"/>
      <c r="AC4" s="113"/>
      <c r="AD4" s="113"/>
      <c r="AE4" s="15">
        <v>8.5</v>
      </c>
      <c r="AF4" s="15">
        <v>8</v>
      </c>
      <c r="AG4" s="15">
        <v>6</v>
      </c>
      <c r="AH4" s="15">
        <v>8</v>
      </c>
      <c r="AI4" s="15">
        <v>6.5</v>
      </c>
      <c r="AJ4" s="16">
        <f t="shared" si="0"/>
        <v>156.5</v>
      </c>
      <c r="AK4" s="65">
        <f t="shared" si="1"/>
        <v>5.3965517241379306</v>
      </c>
    </row>
    <row r="5" spans="1:37" ht="15.5" x14ac:dyDescent="0.35">
      <c r="A5" s="8">
        <f>'Data Siswa'!A5</f>
        <v>4</v>
      </c>
      <c r="B5" s="78" t="str">
        <f>'Data Siswa'!B5</f>
        <v>ANGGITA RAMALIA</v>
      </c>
      <c r="C5" s="8" t="str">
        <f>'Data Siswa'!C5</f>
        <v>1207</v>
      </c>
      <c r="D5" s="15">
        <v>4</v>
      </c>
      <c r="E5" s="15">
        <v>5.5</v>
      </c>
      <c r="F5" s="15">
        <v>4.5</v>
      </c>
      <c r="G5" s="15">
        <v>8</v>
      </c>
      <c r="H5" s="15">
        <v>5.5</v>
      </c>
      <c r="I5" s="15">
        <v>5</v>
      </c>
      <c r="J5" s="15">
        <v>4</v>
      </c>
      <c r="K5" s="15">
        <v>7.5</v>
      </c>
      <c r="L5" s="15">
        <v>4.5</v>
      </c>
      <c r="M5" s="15">
        <v>5</v>
      </c>
      <c r="N5" s="15">
        <v>7.5</v>
      </c>
      <c r="O5" s="15">
        <v>4</v>
      </c>
      <c r="P5" s="15">
        <v>5</v>
      </c>
      <c r="Q5" s="15">
        <v>6.5</v>
      </c>
      <c r="R5" s="15">
        <v>5</v>
      </c>
      <c r="S5" s="15">
        <v>4</v>
      </c>
      <c r="T5" s="15">
        <v>7</v>
      </c>
      <c r="U5" s="15">
        <v>6</v>
      </c>
      <c r="V5" s="15">
        <v>6.5</v>
      </c>
      <c r="W5" s="15">
        <v>8</v>
      </c>
      <c r="X5" s="15">
        <v>7</v>
      </c>
      <c r="Y5" s="15">
        <v>7.5</v>
      </c>
      <c r="Z5" s="15">
        <v>8</v>
      </c>
      <c r="AA5" s="15">
        <v>9</v>
      </c>
      <c r="AB5" s="113"/>
      <c r="AC5" s="113"/>
      <c r="AD5" s="113"/>
      <c r="AE5" s="15">
        <v>8</v>
      </c>
      <c r="AF5" s="15">
        <v>8</v>
      </c>
      <c r="AG5" s="15">
        <v>7</v>
      </c>
      <c r="AH5" s="15">
        <v>8</v>
      </c>
      <c r="AI5" s="15">
        <v>5</v>
      </c>
      <c r="AJ5" s="16">
        <f t="shared" si="0"/>
        <v>180.5</v>
      </c>
      <c r="AK5" s="65">
        <f t="shared" si="1"/>
        <v>6.2241379310344831</v>
      </c>
    </row>
    <row r="6" spans="1:37" ht="15.5" x14ac:dyDescent="0.35">
      <c r="A6" s="8">
        <f>'Data Siswa'!A6</f>
        <v>5</v>
      </c>
      <c r="B6" s="78" t="str">
        <f>'Data Siswa'!B6</f>
        <v>AYUDYA LESTARI</v>
      </c>
      <c r="C6" s="8" t="str">
        <f>'Data Siswa'!C6</f>
        <v>1208</v>
      </c>
      <c r="D6" s="15">
        <v>4</v>
      </c>
      <c r="E6" s="15">
        <v>4.5</v>
      </c>
      <c r="F6" s="15">
        <v>4</v>
      </c>
      <c r="G6" s="15">
        <v>4</v>
      </c>
      <c r="H6" s="15">
        <v>4.5</v>
      </c>
      <c r="I6" s="15">
        <v>4.5</v>
      </c>
      <c r="J6" s="15">
        <v>4</v>
      </c>
      <c r="K6" s="15">
        <v>4</v>
      </c>
      <c r="L6" s="15">
        <v>4</v>
      </c>
      <c r="M6" s="15">
        <v>4</v>
      </c>
      <c r="N6" s="15">
        <v>4</v>
      </c>
      <c r="O6" s="15">
        <v>4</v>
      </c>
      <c r="P6" s="15">
        <v>4</v>
      </c>
      <c r="Q6" s="15">
        <v>4</v>
      </c>
      <c r="R6" s="15">
        <v>5</v>
      </c>
      <c r="S6" s="15">
        <v>4</v>
      </c>
      <c r="T6" s="15">
        <v>6</v>
      </c>
      <c r="U6" s="15">
        <v>7</v>
      </c>
      <c r="V6" s="15">
        <v>4</v>
      </c>
      <c r="W6" s="15">
        <v>7</v>
      </c>
      <c r="X6" s="15">
        <v>8</v>
      </c>
      <c r="Y6" s="15">
        <v>6.5</v>
      </c>
      <c r="Z6" s="15">
        <v>8</v>
      </c>
      <c r="AA6" s="15">
        <v>6</v>
      </c>
      <c r="AB6" s="113"/>
      <c r="AC6" s="113"/>
      <c r="AD6" s="113"/>
      <c r="AE6" s="15">
        <v>8</v>
      </c>
      <c r="AF6" s="15">
        <v>9</v>
      </c>
      <c r="AG6" s="15">
        <v>6.5</v>
      </c>
      <c r="AH6" s="15">
        <v>8</v>
      </c>
      <c r="AI6" s="15">
        <v>6</v>
      </c>
      <c r="AJ6" s="16">
        <f t="shared" si="0"/>
        <v>156.5</v>
      </c>
      <c r="AK6" s="65">
        <f t="shared" si="1"/>
        <v>5.3965517241379306</v>
      </c>
    </row>
    <row r="7" spans="1:37" ht="15.5" x14ac:dyDescent="0.35">
      <c r="A7" s="8">
        <f>'Data Siswa'!A7</f>
        <v>6</v>
      </c>
      <c r="B7" s="78" t="str">
        <f>'Data Siswa'!B7</f>
        <v>CAHYANI WULANDARI</v>
      </c>
      <c r="C7" s="8" t="str">
        <f>'Data Siswa'!C7</f>
        <v>1209</v>
      </c>
      <c r="D7" s="15">
        <v>6</v>
      </c>
      <c r="E7" s="15">
        <v>6</v>
      </c>
      <c r="F7" s="15">
        <v>4.5</v>
      </c>
      <c r="G7" s="15">
        <v>7</v>
      </c>
      <c r="H7" s="15">
        <v>5</v>
      </c>
      <c r="I7" s="15">
        <v>6</v>
      </c>
      <c r="J7" s="15">
        <v>4.5</v>
      </c>
      <c r="K7" s="15">
        <v>5</v>
      </c>
      <c r="L7" s="15">
        <v>4</v>
      </c>
      <c r="M7" s="15">
        <v>5</v>
      </c>
      <c r="N7" s="15">
        <v>7</v>
      </c>
      <c r="O7" s="15">
        <v>4.5</v>
      </c>
      <c r="P7" s="15">
        <v>5</v>
      </c>
      <c r="Q7" s="15">
        <v>6.5</v>
      </c>
      <c r="R7" s="15">
        <v>5</v>
      </c>
      <c r="S7" s="15">
        <v>4</v>
      </c>
      <c r="T7" s="15">
        <v>7</v>
      </c>
      <c r="U7" s="15">
        <v>6</v>
      </c>
      <c r="V7" s="15">
        <v>5.5</v>
      </c>
      <c r="W7" s="15">
        <v>8</v>
      </c>
      <c r="X7" s="15">
        <v>7</v>
      </c>
      <c r="Y7" s="15">
        <v>6.5</v>
      </c>
      <c r="Z7" s="15">
        <v>7.5</v>
      </c>
      <c r="AA7" s="15">
        <v>6</v>
      </c>
      <c r="AB7" s="113"/>
      <c r="AC7" s="113"/>
      <c r="AD7" s="113"/>
      <c r="AE7" s="15">
        <v>7.5</v>
      </c>
      <c r="AF7" s="15">
        <v>8.5</v>
      </c>
      <c r="AG7" s="15">
        <v>7</v>
      </c>
      <c r="AH7" s="15">
        <v>8</v>
      </c>
      <c r="AI7" s="15">
        <v>4.5</v>
      </c>
      <c r="AJ7" s="16">
        <f t="shared" si="0"/>
        <v>174</v>
      </c>
      <c r="AK7" s="65">
        <f t="shared" si="1"/>
        <v>6</v>
      </c>
    </row>
    <row r="8" spans="1:37" ht="15.5" x14ac:dyDescent="0.35">
      <c r="A8" s="8">
        <f>'Data Siswa'!A8</f>
        <v>7</v>
      </c>
      <c r="B8" s="78" t="str">
        <f>'Data Siswa'!B8</f>
        <v>CINDY RAHMANATI</v>
      </c>
      <c r="C8" s="8" t="str">
        <f>'Data Siswa'!C8</f>
        <v>1210</v>
      </c>
      <c r="D8" s="15">
        <v>5.5</v>
      </c>
      <c r="E8" s="15">
        <v>5.5</v>
      </c>
      <c r="F8" s="15">
        <v>4</v>
      </c>
      <c r="G8" s="15">
        <v>6</v>
      </c>
      <c r="H8" s="15">
        <v>6</v>
      </c>
      <c r="I8" s="15">
        <v>7</v>
      </c>
      <c r="J8" s="15">
        <v>4</v>
      </c>
      <c r="K8" s="15">
        <v>5</v>
      </c>
      <c r="L8" s="15">
        <v>5.5</v>
      </c>
      <c r="M8" s="15">
        <v>6</v>
      </c>
      <c r="N8" s="15">
        <v>6.5</v>
      </c>
      <c r="O8" s="15">
        <v>4</v>
      </c>
      <c r="P8" s="15">
        <v>4.5</v>
      </c>
      <c r="Q8" s="15">
        <v>5.5</v>
      </c>
      <c r="R8" s="15">
        <v>5</v>
      </c>
      <c r="S8" s="15">
        <v>4.5</v>
      </c>
      <c r="T8" s="15">
        <v>6</v>
      </c>
      <c r="U8" s="15">
        <v>7</v>
      </c>
      <c r="V8" s="15">
        <v>6.5</v>
      </c>
      <c r="W8" s="15">
        <v>7</v>
      </c>
      <c r="X8" s="15">
        <v>8</v>
      </c>
      <c r="Y8" s="15">
        <v>7</v>
      </c>
      <c r="Z8" s="15">
        <v>9</v>
      </c>
      <c r="AA8" s="15">
        <v>8</v>
      </c>
      <c r="AB8" s="113"/>
      <c r="AC8" s="113"/>
      <c r="AD8" s="113"/>
      <c r="AE8" s="15">
        <v>8</v>
      </c>
      <c r="AF8" s="15">
        <v>8.5</v>
      </c>
      <c r="AG8" s="15">
        <v>6.5</v>
      </c>
      <c r="AH8" s="15">
        <v>8</v>
      </c>
      <c r="AI8" s="15">
        <v>6</v>
      </c>
      <c r="AJ8" s="16">
        <f t="shared" si="0"/>
        <v>180</v>
      </c>
      <c r="AK8" s="65">
        <f t="shared" si="1"/>
        <v>6.2068965517241379</v>
      </c>
    </row>
    <row r="9" spans="1:37" ht="15.5" x14ac:dyDescent="0.35">
      <c r="A9" s="8">
        <f>'Data Siswa'!A9</f>
        <v>8</v>
      </c>
      <c r="B9" s="78" t="str">
        <f>'Data Siswa'!B9</f>
        <v>DEWI AMELLIA</v>
      </c>
      <c r="C9" s="8" t="str">
        <f>'Data Siswa'!C9</f>
        <v>1211</v>
      </c>
      <c r="D9" s="15">
        <v>7.5</v>
      </c>
      <c r="E9" s="15">
        <v>5.5</v>
      </c>
      <c r="F9" s="15">
        <v>4.5</v>
      </c>
      <c r="G9" s="15">
        <v>6.5</v>
      </c>
      <c r="H9" s="15">
        <v>5</v>
      </c>
      <c r="I9" s="15">
        <v>7</v>
      </c>
      <c r="J9" s="15">
        <v>7</v>
      </c>
      <c r="K9" s="15">
        <v>7</v>
      </c>
      <c r="L9" s="15">
        <v>8</v>
      </c>
      <c r="M9" s="15">
        <v>5</v>
      </c>
      <c r="N9" s="15">
        <v>8</v>
      </c>
      <c r="O9" s="15">
        <v>5.5</v>
      </c>
      <c r="P9" s="15">
        <v>5.5</v>
      </c>
      <c r="Q9" s="15">
        <v>6.5</v>
      </c>
      <c r="R9" s="15">
        <v>4.5</v>
      </c>
      <c r="S9" s="15">
        <v>4.5</v>
      </c>
      <c r="T9" s="15">
        <v>7</v>
      </c>
      <c r="U9" s="15">
        <v>6</v>
      </c>
      <c r="V9" s="15">
        <v>7</v>
      </c>
      <c r="W9" s="15">
        <v>8</v>
      </c>
      <c r="X9" s="15">
        <v>7</v>
      </c>
      <c r="Y9" s="15">
        <v>9</v>
      </c>
      <c r="Z9" s="15">
        <v>9</v>
      </c>
      <c r="AA9" s="15">
        <v>8</v>
      </c>
      <c r="AB9" s="113"/>
      <c r="AC9" s="113"/>
      <c r="AD9" s="113"/>
      <c r="AE9" s="15">
        <v>9</v>
      </c>
      <c r="AF9" s="15">
        <v>9.5</v>
      </c>
      <c r="AG9" s="15">
        <v>7</v>
      </c>
      <c r="AH9" s="15">
        <v>8</v>
      </c>
      <c r="AI9" s="15">
        <v>7</v>
      </c>
      <c r="AJ9" s="16">
        <f t="shared" si="0"/>
        <v>199</v>
      </c>
      <c r="AK9" s="65">
        <f t="shared" si="1"/>
        <v>6.8620689655172411</v>
      </c>
    </row>
    <row r="10" spans="1:37" ht="15.5" x14ac:dyDescent="0.35">
      <c r="A10" s="8">
        <f>'Data Siswa'!A10</f>
        <v>9</v>
      </c>
      <c r="B10" s="78" t="str">
        <f>'Data Siswa'!B10</f>
        <v>EGIDIA AGISTA NOVELIN</v>
      </c>
      <c r="C10" s="8" t="str">
        <f>'Data Siswa'!C10</f>
        <v>1212</v>
      </c>
      <c r="D10" s="15">
        <v>7</v>
      </c>
      <c r="E10" s="15">
        <v>6</v>
      </c>
      <c r="F10" s="15">
        <v>4</v>
      </c>
      <c r="G10" s="15">
        <v>5.5</v>
      </c>
      <c r="H10" s="15">
        <v>5</v>
      </c>
      <c r="I10" s="15">
        <v>6.5</v>
      </c>
      <c r="J10" s="15">
        <v>4.5</v>
      </c>
      <c r="K10" s="15">
        <v>7</v>
      </c>
      <c r="L10" s="15">
        <v>4.5</v>
      </c>
      <c r="M10" s="15">
        <v>5</v>
      </c>
      <c r="N10" s="15">
        <v>7.5</v>
      </c>
      <c r="O10" s="15">
        <v>4</v>
      </c>
      <c r="P10" s="15">
        <v>5.5</v>
      </c>
      <c r="Q10" s="15">
        <v>6.5</v>
      </c>
      <c r="R10" s="15">
        <v>6</v>
      </c>
      <c r="S10" s="15">
        <v>4.5</v>
      </c>
      <c r="T10" s="15">
        <v>6</v>
      </c>
      <c r="U10" s="15">
        <v>7</v>
      </c>
      <c r="V10" s="15">
        <v>6.5</v>
      </c>
      <c r="W10" s="15">
        <v>7</v>
      </c>
      <c r="X10" s="15">
        <v>8</v>
      </c>
      <c r="Y10" s="15">
        <v>8</v>
      </c>
      <c r="Z10" s="15">
        <v>9</v>
      </c>
      <c r="AA10" s="15">
        <v>7</v>
      </c>
      <c r="AB10" s="113"/>
      <c r="AC10" s="113"/>
      <c r="AD10" s="113"/>
      <c r="AE10" s="15">
        <v>9</v>
      </c>
      <c r="AF10" s="15">
        <v>9.5</v>
      </c>
      <c r="AG10" s="15">
        <v>9</v>
      </c>
      <c r="AH10" s="15">
        <v>8</v>
      </c>
      <c r="AI10" s="15">
        <v>6.5</v>
      </c>
      <c r="AJ10" s="16">
        <f t="shared" si="0"/>
        <v>189.5</v>
      </c>
      <c r="AK10" s="65">
        <f t="shared" si="1"/>
        <v>6.5344827586206895</v>
      </c>
    </row>
    <row r="11" spans="1:37" ht="15.5" x14ac:dyDescent="0.35">
      <c r="A11" s="8">
        <f>'Data Siswa'!A11</f>
        <v>10</v>
      </c>
      <c r="B11" s="78" t="str">
        <f>'Data Siswa'!B11</f>
        <v>ELSA MARDIANA</v>
      </c>
      <c r="C11" s="8" t="str">
        <f>'Data Siswa'!C11</f>
        <v>1213</v>
      </c>
      <c r="D11" s="15">
        <v>5</v>
      </c>
      <c r="E11" s="15">
        <v>5.5</v>
      </c>
      <c r="F11" s="15">
        <v>4.5</v>
      </c>
      <c r="G11" s="15">
        <v>6.5</v>
      </c>
      <c r="H11" s="15">
        <v>5.5</v>
      </c>
      <c r="I11" s="15">
        <v>6.5</v>
      </c>
      <c r="J11" s="15">
        <v>4</v>
      </c>
      <c r="K11" s="15">
        <v>6.5</v>
      </c>
      <c r="L11" s="15">
        <v>5</v>
      </c>
      <c r="M11" s="15">
        <v>4.5</v>
      </c>
      <c r="N11" s="15">
        <v>7</v>
      </c>
      <c r="O11" s="15">
        <v>4</v>
      </c>
      <c r="P11" s="15">
        <v>5</v>
      </c>
      <c r="Q11" s="15">
        <v>5</v>
      </c>
      <c r="R11" s="15">
        <v>5.5</v>
      </c>
      <c r="S11" s="15">
        <v>4</v>
      </c>
      <c r="T11" s="15">
        <v>7</v>
      </c>
      <c r="U11" s="15">
        <v>6</v>
      </c>
      <c r="V11" s="15">
        <v>6.5</v>
      </c>
      <c r="W11" s="15">
        <v>8</v>
      </c>
      <c r="X11" s="15">
        <v>7</v>
      </c>
      <c r="Y11" s="15">
        <v>7.5</v>
      </c>
      <c r="Z11" s="15">
        <v>8</v>
      </c>
      <c r="AA11" s="15">
        <v>7</v>
      </c>
      <c r="AB11" s="113"/>
      <c r="AC11" s="113"/>
      <c r="AD11" s="113"/>
      <c r="AE11" s="15">
        <v>8.5</v>
      </c>
      <c r="AF11" s="15">
        <v>8.5</v>
      </c>
      <c r="AG11" s="15">
        <v>7</v>
      </c>
      <c r="AH11" s="15">
        <v>8</v>
      </c>
      <c r="AI11" s="15">
        <v>6</v>
      </c>
      <c r="AJ11" s="16">
        <f t="shared" si="0"/>
        <v>179</v>
      </c>
      <c r="AK11" s="65">
        <f t="shared" si="1"/>
        <v>6.1724137931034484</v>
      </c>
    </row>
    <row r="12" spans="1:37" ht="15.5" x14ac:dyDescent="0.35">
      <c r="A12" s="8">
        <f>'Data Siswa'!A12</f>
        <v>11</v>
      </c>
      <c r="B12" s="78" t="str">
        <f>'Data Siswa'!B12</f>
        <v>ERINA ANGGRAENI</v>
      </c>
      <c r="C12" s="8" t="str">
        <f>'Data Siswa'!C12</f>
        <v>1214</v>
      </c>
      <c r="D12" s="15">
        <v>6.5</v>
      </c>
      <c r="E12" s="15">
        <v>5.5</v>
      </c>
      <c r="F12" s="15">
        <v>4.5</v>
      </c>
      <c r="G12" s="15">
        <v>6</v>
      </c>
      <c r="H12" s="15">
        <v>5.5</v>
      </c>
      <c r="I12" s="15">
        <v>5.5</v>
      </c>
      <c r="J12" s="15">
        <v>4</v>
      </c>
      <c r="K12" s="15">
        <v>6.5</v>
      </c>
      <c r="L12" s="15">
        <v>4</v>
      </c>
      <c r="M12" s="15">
        <v>4.5</v>
      </c>
      <c r="N12" s="15">
        <v>7</v>
      </c>
      <c r="O12" s="15">
        <v>4</v>
      </c>
      <c r="P12" s="15">
        <v>4.5</v>
      </c>
      <c r="Q12" s="15">
        <v>6</v>
      </c>
      <c r="R12" s="15">
        <v>5</v>
      </c>
      <c r="S12" s="15">
        <v>4</v>
      </c>
      <c r="T12" s="15">
        <v>6</v>
      </c>
      <c r="U12" s="15">
        <v>7</v>
      </c>
      <c r="V12" s="15">
        <v>5</v>
      </c>
      <c r="W12" s="15">
        <v>7</v>
      </c>
      <c r="X12" s="15">
        <v>8</v>
      </c>
      <c r="Y12" s="15">
        <v>7.5</v>
      </c>
      <c r="Z12" s="15">
        <v>8</v>
      </c>
      <c r="AA12" s="15">
        <v>9</v>
      </c>
      <c r="AB12" s="113"/>
      <c r="AC12" s="113"/>
      <c r="AD12" s="113"/>
      <c r="AE12" s="15">
        <v>8.5</v>
      </c>
      <c r="AF12" s="15">
        <v>8</v>
      </c>
      <c r="AG12" s="15">
        <v>7</v>
      </c>
      <c r="AH12" s="15">
        <v>8</v>
      </c>
      <c r="AI12" s="15">
        <v>5</v>
      </c>
      <c r="AJ12" s="16">
        <f t="shared" si="0"/>
        <v>177</v>
      </c>
      <c r="AK12" s="65">
        <f t="shared" si="1"/>
        <v>6.1034482758620694</v>
      </c>
    </row>
    <row r="13" spans="1:37" ht="15.5" x14ac:dyDescent="0.35">
      <c r="A13" s="8">
        <f>'Data Siswa'!A13</f>
        <v>12</v>
      </c>
      <c r="B13" s="78" t="str">
        <f>'Data Siswa'!B13</f>
        <v>FAHIRA IKMALIA HADI</v>
      </c>
      <c r="C13" s="8" t="str">
        <f>'Data Siswa'!C13</f>
        <v>1215</v>
      </c>
      <c r="D13" s="15">
        <v>4.5</v>
      </c>
      <c r="E13" s="15">
        <v>5.5</v>
      </c>
      <c r="F13" s="15">
        <v>4.5</v>
      </c>
      <c r="G13" s="15">
        <v>5.5</v>
      </c>
      <c r="H13" s="15">
        <v>5</v>
      </c>
      <c r="I13" s="15">
        <v>6.5</v>
      </c>
      <c r="J13" s="15">
        <v>4.5</v>
      </c>
      <c r="K13" s="15">
        <v>6</v>
      </c>
      <c r="L13" s="15">
        <v>4</v>
      </c>
      <c r="M13" s="15">
        <v>5</v>
      </c>
      <c r="N13" s="15">
        <v>5</v>
      </c>
      <c r="O13" s="15">
        <v>4</v>
      </c>
      <c r="P13" s="15">
        <v>4.5</v>
      </c>
      <c r="Q13" s="15">
        <v>5</v>
      </c>
      <c r="R13" s="15">
        <v>5</v>
      </c>
      <c r="S13" s="15">
        <v>4</v>
      </c>
      <c r="T13" s="15">
        <v>7</v>
      </c>
      <c r="U13" s="15">
        <v>6</v>
      </c>
      <c r="V13" s="15">
        <v>6.5</v>
      </c>
      <c r="W13" s="15">
        <v>8</v>
      </c>
      <c r="X13" s="15">
        <v>7</v>
      </c>
      <c r="Y13" s="15">
        <v>7.5</v>
      </c>
      <c r="Z13" s="15">
        <v>8.5</v>
      </c>
      <c r="AA13" s="15">
        <v>6</v>
      </c>
      <c r="AB13" s="113"/>
      <c r="AC13" s="113"/>
      <c r="AD13" s="113"/>
      <c r="AE13" s="15">
        <v>8</v>
      </c>
      <c r="AF13" s="15">
        <v>8</v>
      </c>
      <c r="AG13" s="15">
        <v>6</v>
      </c>
      <c r="AH13" s="15">
        <v>8</v>
      </c>
      <c r="AI13" s="15">
        <v>5.5</v>
      </c>
      <c r="AJ13" s="16">
        <f t="shared" si="0"/>
        <v>170.5</v>
      </c>
      <c r="AK13" s="65">
        <f t="shared" si="1"/>
        <v>5.8793103448275863</v>
      </c>
    </row>
    <row r="14" spans="1:37" ht="15.5" x14ac:dyDescent="0.35">
      <c r="A14" s="8">
        <f>'Data Siswa'!A14</f>
        <v>13</v>
      </c>
      <c r="B14" s="78" t="str">
        <f>'Data Siswa'!B14</f>
        <v>FANI RISKA VIANA</v>
      </c>
      <c r="C14" s="8" t="str">
        <f>'Data Siswa'!C14</f>
        <v>1216</v>
      </c>
      <c r="D14" s="15">
        <v>5.5</v>
      </c>
      <c r="E14" s="15">
        <v>5</v>
      </c>
      <c r="F14" s="15">
        <v>5</v>
      </c>
      <c r="G14" s="15">
        <v>7</v>
      </c>
      <c r="H14" s="15">
        <v>5</v>
      </c>
      <c r="I14" s="15">
        <v>6</v>
      </c>
      <c r="J14" s="15">
        <v>6</v>
      </c>
      <c r="K14" s="15">
        <v>7.5</v>
      </c>
      <c r="L14" s="15">
        <v>7</v>
      </c>
      <c r="M14" s="15">
        <v>4.5</v>
      </c>
      <c r="N14" s="15">
        <v>5</v>
      </c>
      <c r="O14" s="15">
        <v>4</v>
      </c>
      <c r="P14" s="15">
        <v>7.5</v>
      </c>
      <c r="Q14" s="15">
        <v>6</v>
      </c>
      <c r="R14" s="15">
        <v>5.5</v>
      </c>
      <c r="S14" s="15">
        <v>4</v>
      </c>
      <c r="T14" s="15">
        <v>6</v>
      </c>
      <c r="U14" s="15">
        <v>7</v>
      </c>
      <c r="V14" s="15">
        <v>5</v>
      </c>
      <c r="W14" s="15">
        <v>7</v>
      </c>
      <c r="X14" s="15">
        <v>8</v>
      </c>
      <c r="Y14" s="15">
        <v>7.5</v>
      </c>
      <c r="Z14" s="15">
        <v>8.5</v>
      </c>
      <c r="AA14" s="15">
        <v>6</v>
      </c>
      <c r="AB14" s="113"/>
      <c r="AC14" s="113"/>
      <c r="AD14" s="113"/>
      <c r="AE14" s="15">
        <v>8</v>
      </c>
      <c r="AF14" s="15">
        <v>8</v>
      </c>
      <c r="AG14" s="15">
        <v>7.5</v>
      </c>
      <c r="AH14" s="15">
        <v>8</v>
      </c>
      <c r="AI14" s="15">
        <v>5.5</v>
      </c>
      <c r="AJ14" s="16">
        <f t="shared" si="0"/>
        <v>182.5</v>
      </c>
      <c r="AK14" s="65">
        <f t="shared" si="1"/>
        <v>6.2931034482758621</v>
      </c>
    </row>
    <row r="15" spans="1:37" ht="15.5" x14ac:dyDescent="0.35">
      <c r="A15" s="8">
        <f>'Data Siswa'!A15</f>
        <v>14</v>
      </c>
      <c r="B15" s="78" t="str">
        <f>'Data Siswa'!B15</f>
        <v>FIKA NUR AMELIA</v>
      </c>
      <c r="C15" s="8" t="str">
        <f>'Data Siswa'!C15</f>
        <v>1217</v>
      </c>
      <c r="D15" s="15">
        <v>4</v>
      </c>
      <c r="E15" s="15">
        <v>5.5</v>
      </c>
      <c r="F15" s="15">
        <v>4.5</v>
      </c>
      <c r="G15" s="15">
        <v>4.5</v>
      </c>
      <c r="H15" s="15">
        <v>5</v>
      </c>
      <c r="I15" s="15">
        <v>5.5</v>
      </c>
      <c r="J15" s="15">
        <v>4</v>
      </c>
      <c r="K15" s="15">
        <v>4</v>
      </c>
      <c r="L15" s="15">
        <v>4.5</v>
      </c>
      <c r="M15" s="15">
        <v>5</v>
      </c>
      <c r="N15" s="15">
        <v>6</v>
      </c>
      <c r="O15" s="15">
        <v>4</v>
      </c>
      <c r="P15" s="15">
        <v>4</v>
      </c>
      <c r="Q15" s="15">
        <v>4.5</v>
      </c>
      <c r="R15" s="15">
        <v>5</v>
      </c>
      <c r="S15" s="15">
        <v>4.5</v>
      </c>
      <c r="T15" s="15">
        <v>7</v>
      </c>
      <c r="U15" s="15">
        <v>6</v>
      </c>
      <c r="V15" s="15">
        <v>5</v>
      </c>
      <c r="W15" s="15">
        <v>8</v>
      </c>
      <c r="X15" s="15">
        <v>7</v>
      </c>
      <c r="Y15" s="15">
        <v>7.5</v>
      </c>
      <c r="Z15" s="15">
        <v>8.5</v>
      </c>
      <c r="AA15" s="15">
        <v>6</v>
      </c>
      <c r="AB15" s="113"/>
      <c r="AC15" s="113"/>
      <c r="AD15" s="113"/>
      <c r="AE15" s="15">
        <v>8.5</v>
      </c>
      <c r="AF15" s="15">
        <v>9</v>
      </c>
      <c r="AG15" s="15">
        <v>7</v>
      </c>
      <c r="AH15" s="15">
        <v>8</v>
      </c>
      <c r="AI15" s="15">
        <v>8</v>
      </c>
      <c r="AJ15" s="16">
        <f t="shared" si="0"/>
        <v>170</v>
      </c>
      <c r="AK15" s="65">
        <f t="shared" si="1"/>
        <v>5.8620689655172411</v>
      </c>
    </row>
    <row r="16" spans="1:37" ht="15.5" x14ac:dyDescent="0.35">
      <c r="A16" s="8">
        <f>'Data Siswa'!A16</f>
        <v>15</v>
      </c>
      <c r="B16" s="78" t="str">
        <f>'Data Siswa'!B16</f>
        <v>INDAH MAWADDAH</v>
      </c>
      <c r="C16" s="8" t="str">
        <f>'Data Siswa'!C16</f>
        <v>1218</v>
      </c>
      <c r="D16" s="15">
        <v>4</v>
      </c>
      <c r="E16" s="15">
        <v>5</v>
      </c>
      <c r="F16" s="15">
        <v>4</v>
      </c>
      <c r="G16" s="15">
        <v>4.5</v>
      </c>
      <c r="H16" s="15">
        <v>5</v>
      </c>
      <c r="I16" s="15">
        <v>5.5</v>
      </c>
      <c r="J16" s="15">
        <v>4</v>
      </c>
      <c r="K16" s="15">
        <v>4.5</v>
      </c>
      <c r="L16" s="15">
        <v>4</v>
      </c>
      <c r="M16" s="15">
        <v>5</v>
      </c>
      <c r="N16" s="15">
        <v>7</v>
      </c>
      <c r="O16" s="15">
        <v>4</v>
      </c>
      <c r="P16" s="15">
        <v>4</v>
      </c>
      <c r="Q16" s="15">
        <v>5.5</v>
      </c>
      <c r="R16" s="15">
        <v>5</v>
      </c>
      <c r="S16" s="15">
        <v>4</v>
      </c>
      <c r="T16" s="15">
        <v>6</v>
      </c>
      <c r="U16" s="15">
        <v>7</v>
      </c>
      <c r="V16" s="15">
        <v>5</v>
      </c>
      <c r="W16" s="15">
        <v>7</v>
      </c>
      <c r="X16" s="15">
        <v>8</v>
      </c>
      <c r="Y16" s="15">
        <v>7</v>
      </c>
      <c r="Z16" s="15">
        <v>7.5</v>
      </c>
      <c r="AA16" s="15">
        <v>8.5</v>
      </c>
      <c r="AB16" s="113"/>
      <c r="AC16" s="113"/>
      <c r="AD16" s="113"/>
      <c r="AE16" s="15">
        <v>8.5</v>
      </c>
      <c r="AF16" s="15">
        <v>8.5</v>
      </c>
      <c r="AG16" s="15">
        <v>6.5</v>
      </c>
      <c r="AH16" s="15">
        <v>8</v>
      </c>
      <c r="AI16" s="15">
        <v>5.5</v>
      </c>
      <c r="AJ16" s="16">
        <f t="shared" si="0"/>
        <v>168</v>
      </c>
      <c r="AK16" s="65">
        <f t="shared" si="1"/>
        <v>5.7931034482758621</v>
      </c>
    </row>
    <row r="17" spans="1:37" ht="15.5" x14ac:dyDescent="0.35">
      <c r="A17" s="8">
        <f>'Data Siswa'!A17</f>
        <v>16</v>
      </c>
      <c r="B17" s="78" t="str">
        <f>'Data Siswa'!B17</f>
        <v>INTAN NURRIZKA</v>
      </c>
      <c r="C17" s="8" t="str">
        <f>'Data Siswa'!C17</f>
        <v>1219</v>
      </c>
      <c r="D17" s="15">
        <v>7</v>
      </c>
      <c r="E17" s="15">
        <v>5</v>
      </c>
      <c r="F17" s="15">
        <v>4.5</v>
      </c>
      <c r="G17" s="15">
        <v>7</v>
      </c>
      <c r="H17" s="15">
        <v>5.5</v>
      </c>
      <c r="I17" s="15">
        <v>6</v>
      </c>
      <c r="J17" s="15">
        <v>6</v>
      </c>
      <c r="K17" s="15">
        <v>6.5</v>
      </c>
      <c r="L17" s="15">
        <v>6.5</v>
      </c>
      <c r="M17" s="15">
        <v>5.5</v>
      </c>
      <c r="N17" s="15">
        <v>6</v>
      </c>
      <c r="O17" s="15">
        <v>6</v>
      </c>
      <c r="P17" s="15">
        <v>7</v>
      </c>
      <c r="Q17" s="15">
        <v>7.5</v>
      </c>
      <c r="R17" s="15">
        <v>5</v>
      </c>
      <c r="S17" s="15">
        <v>4</v>
      </c>
      <c r="T17" s="15">
        <v>7</v>
      </c>
      <c r="U17" s="15">
        <v>6</v>
      </c>
      <c r="V17" s="15">
        <v>6</v>
      </c>
      <c r="W17" s="15">
        <v>8</v>
      </c>
      <c r="X17" s="15">
        <v>7</v>
      </c>
      <c r="Y17" s="15">
        <v>7.5</v>
      </c>
      <c r="Z17" s="15">
        <v>8</v>
      </c>
      <c r="AA17" s="15">
        <v>6</v>
      </c>
      <c r="AB17" s="113"/>
      <c r="AC17" s="113"/>
      <c r="AD17" s="113"/>
      <c r="AE17" s="15">
        <v>8.5</v>
      </c>
      <c r="AF17" s="15">
        <v>9</v>
      </c>
      <c r="AG17" s="15">
        <v>7.5</v>
      </c>
      <c r="AH17" s="15">
        <v>8</v>
      </c>
      <c r="AI17" s="15">
        <v>5.5</v>
      </c>
      <c r="AJ17" s="16">
        <f t="shared" si="0"/>
        <v>189</v>
      </c>
      <c r="AK17" s="65">
        <f t="shared" si="1"/>
        <v>6.5172413793103452</v>
      </c>
    </row>
    <row r="18" spans="1:37" ht="15.5" x14ac:dyDescent="0.35">
      <c r="A18" s="8">
        <f>'Data Siswa'!A18</f>
        <v>17</v>
      </c>
      <c r="B18" s="78" t="str">
        <f>'Data Siswa'!B18</f>
        <v>KEISYA AURA RUSDIANSYAH</v>
      </c>
      <c r="C18" s="8" t="str">
        <f>'Data Siswa'!C18</f>
        <v>1220</v>
      </c>
      <c r="D18" s="15">
        <v>6</v>
      </c>
      <c r="E18" s="15">
        <v>5</v>
      </c>
      <c r="F18" s="15">
        <v>4</v>
      </c>
      <c r="G18" s="15">
        <v>4.5</v>
      </c>
      <c r="H18" s="15">
        <v>4.5</v>
      </c>
      <c r="I18" s="15">
        <v>6</v>
      </c>
      <c r="J18" s="15">
        <v>4</v>
      </c>
      <c r="K18" s="15">
        <v>5</v>
      </c>
      <c r="L18" s="15">
        <v>4</v>
      </c>
      <c r="M18" s="15">
        <v>5</v>
      </c>
      <c r="N18" s="15">
        <v>8</v>
      </c>
      <c r="O18" s="15">
        <v>4.5</v>
      </c>
      <c r="P18" s="15">
        <v>5</v>
      </c>
      <c r="Q18" s="15">
        <v>5.5</v>
      </c>
      <c r="R18" s="15">
        <v>5.5</v>
      </c>
      <c r="S18" s="15">
        <v>4</v>
      </c>
      <c r="T18" s="15">
        <v>6</v>
      </c>
      <c r="U18" s="15">
        <v>7</v>
      </c>
      <c r="V18" s="15">
        <v>6.5</v>
      </c>
      <c r="W18" s="15">
        <v>7</v>
      </c>
      <c r="X18" s="15">
        <v>8</v>
      </c>
      <c r="Y18" s="15">
        <v>7.5</v>
      </c>
      <c r="Z18" s="15">
        <v>8.5</v>
      </c>
      <c r="AA18" s="15">
        <v>6</v>
      </c>
      <c r="AB18" s="113"/>
      <c r="AC18" s="113"/>
      <c r="AD18" s="113"/>
      <c r="AE18" s="15">
        <v>9</v>
      </c>
      <c r="AF18" s="15">
        <v>8.5</v>
      </c>
      <c r="AG18" s="15">
        <v>6.5</v>
      </c>
      <c r="AH18" s="15">
        <v>8</v>
      </c>
      <c r="AI18" s="15">
        <v>6</v>
      </c>
      <c r="AJ18" s="16">
        <f t="shared" si="0"/>
        <v>175</v>
      </c>
      <c r="AK18" s="65">
        <f t="shared" si="1"/>
        <v>6.0344827586206895</v>
      </c>
    </row>
    <row r="19" spans="1:37" ht="15.5" x14ac:dyDescent="0.35">
      <c r="A19" s="8">
        <f>'Data Siswa'!A19</f>
        <v>18</v>
      </c>
      <c r="B19" s="78" t="str">
        <f>'Data Siswa'!B19</f>
        <v>LESTIANA LUXMY MADINA NUSA</v>
      </c>
      <c r="C19" s="8" t="str">
        <f>'Data Siswa'!C19</f>
        <v>1221</v>
      </c>
      <c r="D19" s="15">
        <v>5.5</v>
      </c>
      <c r="E19" s="15">
        <v>5</v>
      </c>
      <c r="F19" s="15">
        <v>4</v>
      </c>
      <c r="G19" s="15">
        <v>4</v>
      </c>
      <c r="H19" s="15">
        <v>5</v>
      </c>
      <c r="I19" s="15">
        <v>6.5</v>
      </c>
      <c r="J19" s="15">
        <v>4</v>
      </c>
      <c r="K19" s="15">
        <v>4</v>
      </c>
      <c r="L19" s="15"/>
      <c r="M19" s="15">
        <v>5.5</v>
      </c>
      <c r="N19" s="15">
        <v>7</v>
      </c>
      <c r="O19" s="15">
        <v>4</v>
      </c>
      <c r="P19" s="15">
        <v>4.5</v>
      </c>
      <c r="Q19" s="15">
        <v>6</v>
      </c>
      <c r="R19" s="15">
        <v>5</v>
      </c>
      <c r="S19" s="15">
        <v>4</v>
      </c>
      <c r="T19" s="15">
        <v>7</v>
      </c>
      <c r="U19" s="15">
        <v>6</v>
      </c>
      <c r="V19" s="15">
        <v>6.5</v>
      </c>
      <c r="W19" s="15">
        <v>8</v>
      </c>
      <c r="X19" s="15">
        <v>7</v>
      </c>
      <c r="Y19" s="15">
        <v>7</v>
      </c>
      <c r="Z19" s="15">
        <v>9</v>
      </c>
      <c r="AA19" s="15"/>
      <c r="AB19" s="113"/>
      <c r="AC19" s="113"/>
      <c r="AD19" s="113"/>
      <c r="AE19" s="15">
        <v>8</v>
      </c>
      <c r="AF19" s="15">
        <v>8</v>
      </c>
      <c r="AG19" s="15">
        <v>7</v>
      </c>
      <c r="AH19" s="15">
        <v>8</v>
      </c>
      <c r="AI19" s="15">
        <v>7.5</v>
      </c>
      <c r="AJ19" s="16">
        <f t="shared" si="0"/>
        <v>163</v>
      </c>
      <c r="AK19" s="65">
        <f t="shared" si="1"/>
        <v>6.0370370370370372</v>
      </c>
    </row>
    <row r="20" spans="1:37" ht="15.5" x14ac:dyDescent="0.35">
      <c r="A20" s="8">
        <f>'Data Siswa'!A20</f>
        <v>19</v>
      </c>
      <c r="B20" s="78" t="str">
        <f>'Data Siswa'!B20</f>
        <v>MEIRIN NUR SANDRILA</v>
      </c>
      <c r="C20" s="8" t="str">
        <f>'Data Siswa'!C20</f>
        <v>1222</v>
      </c>
      <c r="D20" s="15">
        <v>8</v>
      </c>
      <c r="E20" s="15">
        <v>5.5</v>
      </c>
      <c r="F20" s="15">
        <v>4.5</v>
      </c>
      <c r="G20" s="15">
        <v>7.5</v>
      </c>
      <c r="H20" s="15">
        <v>7</v>
      </c>
      <c r="I20" s="15">
        <v>6</v>
      </c>
      <c r="J20" s="15">
        <v>4</v>
      </c>
      <c r="K20" s="15">
        <v>7</v>
      </c>
      <c r="L20" s="15">
        <v>7</v>
      </c>
      <c r="M20" s="15">
        <v>5.5</v>
      </c>
      <c r="N20" s="15">
        <v>7.5</v>
      </c>
      <c r="O20" s="15">
        <v>7</v>
      </c>
      <c r="P20" s="15">
        <v>5</v>
      </c>
      <c r="Q20" s="15">
        <v>6.5</v>
      </c>
      <c r="R20" s="15">
        <v>6</v>
      </c>
      <c r="S20" s="15">
        <v>4</v>
      </c>
      <c r="T20" s="15">
        <v>6</v>
      </c>
      <c r="U20" s="15">
        <v>7</v>
      </c>
      <c r="V20" s="15">
        <v>6.5</v>
      </c>
      <c r="W20" s="15">
        <v>7</v>
      </c>
      <c r="X20" s="15">
        <v>8</v>
      </c>
      <c r="Y20" s="15">
        <v>9</v>
      </c>
      <c r="Z20" s="15">
        <v>8.5</v>
      </c>
      <c r="AA20" s="15">
        <v>8</v>
      </c>
      <c r="AB20" s="113"/>
      <c r="AC20" s="113"/>
      <c r="AD20" s="113"/>
      <c r="AE20" s="15">
        <v>8</v>
      </c>
      <c r="AF20" s="15">
        <v>8.5</v>
      </c>
      <c r="AG20" s="15">
        <v>7.5</v>
      </c>
      <c r="AH20" s="15">
        <v>8</v>
      </c>
      <c r="AI20" s="15">
        <v>5</v>
      </c>
      <c r="AJ20" s="16">
        <f t="shared" si="0"/>
        <v>195</v>
      </c>
      <c r="AK20" s="65">
        <f t="shared" si="1"/>
        <v>6.7241379310344831</v>
      </c>
    </row>
    <row r="21" spans="1:37" ht="15.5" x14ac:dyDescent="0.35">
      <c r="A21" s="8">
        <f>'Data Siswa'!A21</f>
        <v>20</v>
      </c>
      <c r="B21" s="78" t="str">
        <f>'Data Siswa'!B21</f>
        <v>NAJWA KHOERUNNISA</v>
      </c>
      <c r="C21" s="8" t="str">
        <f>'Data Siswa'!C21</f>
        <v>1223</v>
      </c>
      <c r="D21" s="15">
        <v>6.5</v>
      </c>
      <c r="E21" s="15">
        <v>5.5</v>
      </c>
      <c r="F21" s="15">
        <v>4</v>
      </c>
      <c r="G21" s="15">
        <v>6.5</v>
      </c>
      <c r="H21" s="15">
        <v>6.5</v>
      </c>
      <c r="I21" s="15">
        <v>6</v>
      </c>
      <c r="J21" s="15">
        <v>4</v>
      </c>
      <c r="K21" s="15">
        <v>6</v>
      </c>
      <c r="L21" s="15">
        <v>7</v>
      </c>
      <c r="M21" s="15">
        <v>5</v>
      </c>
      <c r="N21" s="15">
        <v>8</v>
      </c>
      <c r="O21" s="15">
        <v>4</v>
      </c>
      <c r="P21" s="15">
        <v>5</v>
      </c>
      <c r="Q21" s="15">
        <v>6</v>
      </c>
      <c r="R21" s="15">
        <v>5.5</v>
      </c>
      <c r="S21" s="15">
        <v>4</v>
      </c>
      <c r="T21" s="15">
        <v>7</v>
      </c>
      <c r="U21" s="15">
        <v>6</v>
      </c>
      <c r="V21" s="15">
        <v>5</v>
      </c>
      <c r="W21" s="15">
        <v>8</v>
      </c>
      <c r="X21" s="15">
        <v>7</v>
      </c>
      <c r="Y21" s="15">
        <v>7</v>
      </c>
      <c r="Z21" s="15">
        <v>7.5</v>
      </c>
      <c r="AA21" s="15">
        <v>6</v>
      </c>
      <c r="AB21" s="113"/>
      <c r="AC21" s="113"/>
      <c r="AD21" s="113"/>
      <c r="AE21" s="15">
        <v>8</v>
      </c>
      <c r="AF21" s="15">
        <v>8</v>
      </c>
      <c r="AG21" s="15">
        <v>6.5</v>
      </c>
      <c r="AH21" s="15">
        <v>8</v>
      </c>
      <c r="AI21" s="15">
        <v>7</v>
      </c>
      <c r="AJ21" s="16">
        <f t="shared" si="0"/>
        <v>180.5</v>
      </c>
      <c r="AK21" s="65">
        <f t="shared" si="1"/>
        <v>6.2241379310344831</v>
      </c>
    </row>
    <row r="22" spans="1:37" ht="15.5" x14ac:dyDescent="0.35">
      <c r="A22" s="8">
        <f>'Data Siswa'!A22</f>
        <v>21</v>
      </c>
      <c r="B22" s="78" t="str">
        <f>'Data Siswa'!B22</f>
        <v>NAJWA ZAHROTUNNISA</v>
      </c>
      <c r="C22" s="8" t="str">
        <f>'Data Siswa'!C22</f>
        <v>1224</v>
      </c>
      <c r="D22" s="15">
        <v>4</v>
      </c>
      <c r="E22" s="15">
        <v>5</v>
      </c>
      <c r="F22" s="15">
        <v>4</v>
      </c>
      <c r="G22" s="15">
        <v>4.5</v>
      </c>
      <c r="H22" s="15">
        <v>6</v>
      </c>
      <c r="I22" s="15">
        <v>5.5</v>
      </c>
      <c r="J22" s="15">
        <v>4</v>
      </c>
      <c r="K22" s="15">
        <v>4</v>
      </c>
      <c r="L22" s="15">
        <v>4</v>
      </c>
      <c r="M22" s="15">
        <v>5</v>
      </c>
      <c r="N22" s="15">
        <v>7</v>
      </c>
      <c r="O22" s="15">
        <v>4</v>
      </c>
      <c r="P22" s="15">
        <v>4</v>
      </c>
      <c r="Q22" s="15">
        <v>5</v>
      </c>
      <c r="R22" s="15">
        <v>6</v>
      </c>
      <c r="S22" s="15">
        <v>4</v>
      </c>
      <c r="T22" s="15">
        <v>6</v>
      </c>
      <c r="U22" s="15">
        <v>7</v>
      </c>
      <c r="V22" s="15">
        <v>4.5</v>
      </c>
      <c r="W22" s="15">
        <v>7</v>
      </c>
      <c r="X22" s="15">
        <v>8</v>
      </c>
      <c r="Y22" s="15">
        <v>7</v>
      </c>
      <c r="Z22" s="15">
        <v>8</v>
      </c>
      <c r="AA22" s="15">
        <v>5.5</v>
      </c>
      <c r="AB22" s="113"/>
      <c r="AC22" s="113"/>
      <c r="AD22" s="113"/>
      <c r="AE22" s="15">
        <v>8</v>
      </c>
      <c r="AF22" s="15">
        <v>8</v>
      </c>
      <c r="AG22" s="15">
        <v>7</v>
      </c>
      <c r="AH22" s="15">
        <v>8</v>
      </c>
      <c r="AI22" s="15">
        <v>5</v>
      </c>
      <c r="AJ22" s="16">
        <f t="shared" si="0"/>
        <v>165</v>
      </c>
      <c r="AK22" s="65">
        <f t="shared" si="1"/>
        <v>5.6896551724137927</v>
      </c>
    </row>
    <row r="23" spans="1:37" ht="15.5" x14ac:dyDescent="0.35">
      <c r="A23" s="8">
        <f>'Data Siswa'!A23</f>
        <v>22</v>
      </c>
      <c r="B23" s="78" t="str">
        <f>'Data Siswa'!B23</f>
        <v>NANDA HAMIDAH</v>
      </c>
      <c r="C23" s="8" t="str">
        <f>'Data Siswa'!C23</f>
        <v>1225</v>
      </c>
      <c r="D23" s="15">
        <v>4.5</v>
      </c>
      <c r="E23" s="15">
        <v>5.5</v>
      </c>
      <c r="F23" s="15">
        <v>4.5</v>
      </c>
      <c r="G23" s="15">
        <v>5.5</v>
      </c>
      <c r="H23" s="15">
        <v>5</v>
      </c>
      <c r="I23" s="15">
        <v>6</v>
      </c>
      <c r="J23" s="15">
        <v>4</v>
      </c>
      <c r="K23" s="15">
        <v>4.5</v>
      </c>
      <c r="L23" s="15">
        <v>5</v>
      </c>
      <c r="M23" s="15">
        <v>4.5</v>
      </c>
      <c r="N23" s="15">
        <v>6.5</v>
      </c>
      <c r="O23" s="15">
        <v>4.5</v>
      </c>
      <c r="P23" s="15">
        <v>5</v>
      </c>
      <c r="Q23" s="15">
        <v>5.5</v>
      </c>
      <c r="R23" s="15">
        <v>6</v>
      </c>
      <c r="S23" s="15">
        <v>4</v>
      </c>
      <c r="T23" s="15">
        <v>7</v>
      </c>
      <c r="U23" s="15">
        <v>6</v>
      </c>
      <c r="V23" s="15">
        <v>5</v>
      </c>
      <c r="W23" s="15">
        <v>8</v>
      </c>
      <c r="X23" s="15">
        <v>7</v>
      </c>
      <c r="Y23" s="15">
        <v>7.5</v>
      </c>
      <c r="Z23" s="15">
        <v>7</v>
      </c>
      <c r="AA23" s="15">
        <v>7</v>
      </c>
      <c r="AB23" s="113"/>
      <c r="AC23" s="113"/>
      <c r="AD23" s="113"/>
      <c r="AE23" s="15">
        <v>8</v>
      </c>
      <c r="AF23" s="15">
        <v>8.5</v>
      </c>
      <c r="AG23" s="15">
        <v>6.5</v>
      </c>
      <c r="AH23" s="15">
        <v>8</v>
      </c>
      <c r="AI23" s="15">
        <v>4.5</v>
      </c>
      <c r="AJ23" s="16">
        <f t="shared" si="0"/>
        <v>170.5</v>
      </c>
      <c r="AK23" s="65">
        <f t="shared" si="1"/>
        <v>5.8793103448275863</v>
      </c>
    </row>
    <row r="24" spans="1:37" ht="15.5" x14ac:dyDescent="0.35">
      <c r="A24" s="8">
        <f>'Data Siswa'!A24</f>
        <v>23</v>
      </c>
      <c r="B24" s="78" t="str">
        <f>'Data Siswa'!B24</f>
        <v>NOVA AULIA RITONGA</v>
      </c>
      <c r="C24" s="8" t="str">
        <f>'Data Siswa'!C24</f>
        <v>1226</v>
      </c>
      <c r="D24" s="15">
        <v>4.5</v>
      </c>
      <c r="E24" s="15">
        <v>5.5</v>
      </c>
      <c r="F24" s="15">
        <v>4</v>
      </c>
      <c r="G24" s="15">
        <v>6</v>
      </c>
      <c r="H24" s="15">
        <v>5.5</v>
      </c>
      <c r="I24" s="15">
        <v>6.5</v>
      </c>
      <c r="J24" s="15">
        <v>4</v>
      </c>
      <c r="K24" s="15">
        <v>4</v>
      </c>
      <c r="L24" s="15">
        <v>4.5</v>
      </c>
      <c r="M24" s="15">
        <v>5</v>
      </c>
      <c r="N24" s="15">
        <v>7.5</v>
      </c>
      <c r="O24" s="15">
        <v>4.5</v>
      </c>
      <c r="P24" s="15">
        <v>4</v>
      </c>
      <c r="Q24" s="15">
        <v>5.5</v>
      </c>
      <c r="R24" s="15">
        <v>5</v>
      </c>
      <c r="S24" s="15">
        <v>4</v>
      </c>
      <c r="T24" s="15">
        <v>6</v>
      </c>
      <c r="U24" s="15">
        <v>7</v>
      </c>
      <c r="V24" s="15">
        <v>5</v>
      </c>
      <c r="W24" s="15">
        <v>7</v>
      </c>
      <c r="X24" s="15">
        <v>8</v>
      </c>
      <c r="Y24" s="15">
        <v>7.5</v>
      </c>
      <c r="Z24" s="15">
        <v>7</v>
      </c>
      <c r="AA24" s="15">
        <v>7</v>
      </c>
      <c r="AB24" s="113"/>
      <c r="AC24" s="113"/>
      <c r="AD24" s="113"/>
      <c r="AE24" s="15">
        <v>8</v>
      </c>
      <c r="AF24" s="15">
        <v>9</v>
      </c>
      <c r="AG24" s="15">
        <v>6.5</v>
      </c>
      <c r="AH24" s="15">
        <v>8</v>
      </c>
      <c r="AI24" s="15">
        <v>5.5</v>
      </c>
      <c r="AJ24" s="16">
        <f t="shared" si="0"/>
        <v>171.5</v>
      </c>
      <c r="AK24" s="65">
        <f t="shared" si="1"/>
        <v>5.9137931034482758</v>
      </c>
    </row>
    <row r="25" spans="1:37" ht="15.5" x14ac:dyDescent="0.35">
      <c r="A25" s="8">
        <f>'Data Siswa'!A25</f>
        <v>24</v>
      </c>
      <c r="B25" s="78" t="str">
        <f>'Data Siswa'!B25</f>
        <v>NUR AFNI OKTAFIYANTI</v>
      </c>
      <c r="C25" s="8" t="str">
        <f>'Data Siswa'!C25</f>
        <v>1227</v>
      </c>
      <c r="D25" s="15">
        <v>4</v>
      </c>
      <c r="E25" s="15">
        <v>5</v>
      </c>
      <c r="F25" s="15">
        <v>4</v>
      </c>
      <c r="G25" s="15">
        <v>4</v>
      </c>
      <c r="H25" s="15">
        <v>4.5</v>
      </c>
      <c r="I25" s="15"/>
      <c r="J25" s="15">
        <v>5</v>
      </c>
      <c r="K25" s="15"/>
      <c r="L25" s="15"/>
      <c r="M25" s="15">
        <v>5</v>
      </c>
      <c r="N25" s="15">
        <v>7</v>
      </c>
      <c r="O25" s="15">
        <v>4</v>
      </c>
      <c r="P25" s="15">
        <v>5</v>
      </c>
      <c r="Q25" s="15"/>
      <c r="R25" s="15">
        <v>6</v>
      </c>
      <c r="S25" s="15"/>
      <c r="T25" s="15">
        <v>7</v>
      </c>
      <c r="U25" s="15">
        <v>6</v>
      </c>
      <c r="V25" s="15"/>
      <c r="W25" s="15">
        <v>8</v>
      </c>
      <c r="X25" s="15">
        <v>7</v>
      </c>
      <c r="Y25" s="15">
        <v>7.5</v>
      </c>
      <c r="Z25" s="15">
        <v>8.5</v>
      </c>
      <c r="AA25" s="15"/>
      <c r="AB25" s="113"/>
      <c r="AC25" s="113"/>
      <c r="AD25" s="113"/>
      <c r="AE25" s="15">
        <v>8</v>
      </c>
      <c r="AF25" s="15">
        <v>8.5</v>
      </c>
      <c r="AG25" s="15">
        <v>7</v>
      </c>
      <c r="AH25" s="15"/>
      <c r="AI25" s="15">
        <v>6.5</v>
      </c>
      <c r="AJ25" s="16">
        <f t="shared" si="0"/>
        <v>127.5</v>
      </c>
      <c r="AK25" s="65">
        <f t="shared" si="1"/>
        <v>6.0714285714285712</v>
      </c>
    </row>
    <row r="26" spans="1:37" ht="15.5" x14ac:dyDescent="0.35">
      <c r="A26" s="8">
        <f>'Data Siswa'!A26</f>
        <v>25</v>
      </c>
      <c r="B26" s="78" t="str">
        <f>'Data Siswa'!B26</f>
        <v>NURIYANTI</v>
      </c>
      <c r="C26" s="8" t="str">
        <f>'Data Siswa'!C26</f>
        <v>1228</v>
      </c>
      <c r="D26" s="15">
        <v>4.5</v>
      </c>
      <c r="E26" s="15">
        <v>5.5</v>
      </c>
      <c r="F26" s="15">
        <v>5</v>
      </c>
      <c r="G26" s="15">
        <v>7</v>
      </c>
      <c r="H26" s="15">
        <v>4.5</v>
      </c>
      <c r="I26" s="15">
        <v>5.5</v>
      </c>
      <c r="J26" s="15">
        <v>4</v>
      </c>
      <c r="K26" s="15">
        <v>4</v>
      </c>
      <c r="L26" s="15">
        <v>7</v>
      </c>
      <c r="M26" s="15">
        <v>5</v>
      </c>
      <c r="N26" s="15">
        <v>5</v>
      </c>
      <c r="O26" s="15">
        <v>4</v>
      </c>
      <c r="P26" s="15">
        <v>4.5</v>
      </c>
      <c r="Q26" s="15">
        <v>6</v>
      </c>
      <c r="R26" s="15">
        <v>6</v>
      </c>
      <c r="S26" s="15">
        <v>4</v>
      </c>
      <c r="T26" s="15">
        <v>6</v>
      </c>
      <c r="U26" s="15">
        <v>7</v>
      </c>
      <c r="V26" s="15">
        <v>7.5</v>
      </c>
      <c r="W26" s="15">
        <v>7</v>
      </c>
      <c r="X26" s="15">
        <v>8</v>
      </c>
      <c r="Y26" s="15">
        <v>7.5</v>
      </c>
      <c r="Z26" s="15">
        <v>7</v>
      </c>
      <c r="AA26" s="15">
        <v>9.5</v>
      </c>
      <c r="AB26" s="113"/>
      <c r="AC26" s="113"/>
      <c r="AD26" s="113"/>
      <c r="AE26" s="15">
        <v>8.5</v>
      </c>
      <c r="AF26" s="15">
        <v>8</v>
      </c>
      <c r="AG26" s="15">
        <v>7</v>
      </c>
      <c r="AH26" s="15">
        <v>8</v>
      </c>
      <c r="AI26" s="15">
        <v>5</v>
      </c>
      <c r="AJ26" s="16">
        <f t="shared" si="0"/>
        <v>177.5</v>
      </c>
      <c r="AK26" s="65">
        <f t="shared" si="1"/>
        <v>6.1206896551724137</v>
      </c>
    </row>
    <row r="27" spans="1:37" ht="15.5" x14ac:dyDescent="0.35">
      <c r="A27" s="8">
        <f>'Data Siswa'!A27</f>
        <v>26</v>
      </c>
      <c r="B27" s="78" t="str">
        <f>'Data Siswa'!B27</f>
        <v>RAMINAH</v>
      </c>
      <c r="C27" s="8" t="str">
        <f>'Data Siswa'!C27</f>
        <v>1229</v>
      </c>
      <c r="D27" s="15">
        <v>4</v>
      </c>
      <c r="E27" s="15">
        <v>5.5</v>
      </c>
      <c r="F27" s="15">
        <v>5</v>
      </c>
      <c r="G27" s="15">
        <v>4</v>
      </c>
      <c r="H27" s="15">
        <v>4.5</v>
      </c>
      <c r="I27" s="15">
        <v>5</v>
      </c>
      <c r="J27" s="15">
        <v>4</v>
      </c>
      <c r="K27" s="15">
        <v>4</v>
      </c>
      <c r="L27" s="15">
        <v>4</v>
      </c>
      <c r="M27" s="15">
        <v>4</v>
      </c>
      <c r="N27" s="15">
        <v>8</v>
      </c>
      <c r="O27" s="15">
        <v>4</v>
      </c>
      <c r="P27" s="15">
        <v>4</v>
      </c>
      <c r="Q27" s="15">
        <v>4</v>
      </c>
      <c r="R27" s="15">
        <v>5.5</v>
      </c>
      <c r="S27" s="15">
        <v>4</v>
      </c>
      <c r="T27" s="15">
        <v>7</v>
      </c>
      <c r="U27" s="15">
        <v>6</v>
      </c>
      <c r="V27" s="15">
        <v>6</v>
      </c>
      <c r="W27" s="15">
        <v>8</v>
      </c>
      <c r="X27" s="15">
        <v>7</v>
      </c>
      <c r="Y27" s="15">
        <v>7.5</v>
      </c>
      <c r="Z27" s="15">
        <v>7.5</v>
      </c>
      <c r="AA27" s="15">
        <v>5.5</v>
      </c>
      <c r="AB27" s="113"/>
      <c r="AC27" s="113"/>
      <c r="AD27" s="113"/>
      <c r="AE27" s="15">
        <v>8</v>
      </c>
      <c r="AF27" s="15">
        <v>8</v>
      </c>
      <c r="AG27" s="15">
        <v>7</v>
      </c>
      <c r="AH27" s="15">
        <v>8.5</v>
      </c>
      <c r="AI27" s="15">
        <v>6</v>
      </c>
      <c r="AJ27" s="16">
        <f t="shared" si="0"/>
        <v>165.5</v>
      </c>
      <c r="AK27" s="65">
        <f t="shared" si="1"/>
        <v>5.7068965517241379</v>
      </c>
    </row>
    <row r="28" spans="1:37" ht="15.5" x14ac:dyDescent="0.35">
      <c r="A28" s="8">
        <f>'Data Siswa'!A28</f>
        <v>27</v>
      </c>
      <c r="B28" s="78" t="str">
        <f>'Data Siswa'!B28</f>
        <v>RAYNA NURUL AUDINA</v>
      </c>
      <c r="C28" s="8" t="str">
        <f>'Data Siswa'!C28</f>
        <v>1230</v>
      </c>
      <c r="D28" s="15">
        <v>7.5</v>
      </c>
      <c r="E28" s="15">
        <v>6</v>
      </c>
      <c r="F28" s="15">
        <v>4</v>
      </c>
      <c r="G28" s="15">
        <v>6</v>
      </c>
      <c r="H28" s="15">
        <v>5.5</v>
      </c>
      <c r="I28" s="15">
        <v>6</v>
      </c>
      <c r="J28" s="15">
        <v>4</v>
      </c>
      <c r="K28" s="15"/>
      <c r="L28" s="15"/>
      <c r="M28" s="15">
        <v>4.5</v>
      </c>
      <c r="N28" s="15">
        <v>5.5</v>
      </c>
      <c r="O28" s="15">
        <v>4</v>
      </c>
      <c r="P28" s="15">
        <v>5</v>
      </c>
      <c r="Q28" s="15"/>
      <c r="R28" s="15">
        <v>5</v>
      </c>
      <c r="S28" s="15"/>
      <c r="T28" s="15">
        <v>6</v>
      </c>
      <c r="U28" s="15">
        <v>7</v>
      </c>
      <c r="V28" s="15"/>
      <c r="W28" s="15">
        <v>7</v>
      </c>
      <c r="X28" s="15">
        <v>8</v>
      </c>
      <c r="Y28" s="15">
        <v>7.5</v>
      </c>
      <c r="Z28" s="15">
        <v>8.5</v>
      </c>
      <c r="AA28" s="15"/>
      <c r="AB28" s="113"/>
      <c r="AC28" s="113"/>
      <c r="AD28" s="113"/>
      <c r="AE28" s="15">
        <v>8.5</v>
      </c>
      <c r="AF28" s="15">
        <v>9</v>
      </c>
      <c r="AG28" s="15">
        <v>7.5</v>
      </c>
      <c r="AH28" s="15"/>
      <c r="AI28" s="15">
        <v>6.5</v>
      </c>
      <c r="AJ28" s="16">
        <f t="shared" si="0"/>
        <v>138.5</v>
      </c>
      <c r="AK28" s="65">
        <f t="shared" si="1"/>
        <v>6.2954545454545459</v>
      </c>
    </row>
    <row r="29" spans="1:37" ht="15.5" x14ac:dyDescent="0.35">
      <c r="A29" s="8">
        <f>'Data Siswa'!A29</f>
        <v>28</v>
      </c>
      <c r="B29" s="78" t="str">
        <f>'Data Siswa'!B29</f>
        <v>REIFA AULIA NURFAUZA</v>
      </c>
      <c r="C29" s="8" t="str">
        <f>'Data Siswa'!C29</f>
        <v>1231</v>
      </c>
      <c r="D29" s="15">
        <v>6</v>
      </c>
      <c r="E29" s="15">
        <v>6</v>
      </c>
      <c r="F29" s="15">
        <v>4</v>
      </c>
      <c r="G29" s="15">
        <v>6</v>
      </c>
      <c r="H29" s="15">
        <v>4.5</v>
      </c>
      <c r="I29" s="15">
        <v>6.5</v>
      </c>
      <c r="J29" s="15">
        <v>4</v>
      </c>
      <c r="K29" s="15">
        <v>4</v>
      </c>
      <c r="L29" s="15">
        <v>6</v>
      </c>
      <c r="M29" s="15">
        <v>5</v>
      </c>
      <c r="N29" s="15">
        <v>6.5</v>
      </c>
      <c r="O29" s="15">
        <v>4.5</v>
      </c>
      <c r="P29" s="15">
        <v>4.5</v>
      </c>
      <c r="Q29" s="15">
        <v>5.5</v>
      </c>
      <c r="R29" s="15">
        <v>5.5</v>
      </c>
      <c r="S29" s="15">
        <v>5.5</v>
      </c>
      <c r="T29" s="15">
        <v>7</v>
      </c>
      <c r="U29" s="15">
        <v>6</v>
      </c>
      <c r="V29" s="15">
        <v>6</v>
      </c>
      <c r="W29" s="15">
        <v>8</v>
      </c>
      <c r="X29" s="15">
        <v>7</v>
      </c>
      <c r="Y29" s="15">
        <v>8</v>
      </c>
      <c r="Z29" s="15">
        <v>9</v>
      </c>
      <c r="AA29" s="15">
        <v>9</v>
      </c>
      <c r="AB29" s="113"/>
      <c r="AC29" s="113"/>
      <c r="AD29" s="113"/>
      <c r="AE29" s="15">
        <v>8</v>
      </c>
      <c r="AF29" s="15">
        <v>8.5</v>
      </c>
      <c r="AG29" s="15">
        <v>7</v>
      </c>
      <c r="AH29" s="15">
        <v>8</v>
      </c>
      <c r="AI29" s="15">
        <v>5.5</v>
      </c>
      <c r="AJ29" s="16">
        <f t="shared" si="0"/>
        <v>181</v>
      </c>
      <c r="AK29" s="65">
        <f t="shared" si="1"/>
        <v>6.2413793103448274</v>
      </c>
    </row>
    <row r="30" spans="1:37" ht="15.5" x14ac:dyDescent="0.35">
      <c r="A30" s="8">
        <f>'Data Siswa'!A30</f>
        <v>29</v>
      </c>
      <c r="B30" s="78" t="str">
        <f>'Data Siswa'!B30</f>
        <v>SALIS FIJRIYANI</v>
      </c>
      <c r="C30" s="8" t="str">
        <f>'Data Siswa'!C30</f>
        <v>1232</v>
      </c>
      <c r="D30" s="15">
        <v>8</v>
      </c>
      <c r="E30" s="15">
        <v>5</v>
      </c>
      <c r="F30" s="15">
        <v>4.5</v>
      </c>
      <c r="G30" s="15">
        <v>8</v>
      </c>
      <c r="H30" s="15">
        <v>7</v>
      </c>
      <c r="I30" s="15">
        <v>6.5</v>
      </c>
      <c r="J30" s="15">
        <v>5</v>
      </c>
      <c r="K30" s="15">
        <v>7.5</v>
      </c>
      <c r="L30" s="15">
        <v>6.5</v>
      </c>
      <c r="M30" s="15">
        <v>6</v>
      </c>
      <c r="N30" s="15">
        <v>7.5</v>
      </c>
      <c r="O30" s="15">
        <v>5</v>
      </c>
      <c r="P30" s="15">
        <v>6.5</v>
      </c>
      <c r="Q30" s="15">
        <v>7.5</v>
      </c>
      <c r="R30" s="15">
        <v>5</v>
      </c>
      <c r="S30" s="15">
        <v>5.5</v>
      </c>
      <c r="T30" s="15">
        <v>6</v>
      </c>
      <c r="U30" s="15">
        <v>7</v>
      </c>
      <c r="V30" s="15">
        <v>7</v>
      </c>
      <c r="W30" s="15">
        <v>7</v>
      </c>
      <c r="X30" s="15">
        <v>8</v>
      </c>
      <c r="Y30" s="15">
        <v>8</v>
      </c>
      <c r="Z30" s="15">
        <v>7.5</v>
      </c>
      <c r="AA30" s="15">
        <v>7.5</v>
      </c>
      <c r="AB30" s="113"/>
      <c r="AC30" s="113"/>
      <c r="AD30" s="113"/>
      <c r="AE30" s="15">
        <v>9</v>
      </c>
      <c r="AF30" s="15">
        <v>9</v>
      </c>
      <c r="AG30" s="15">
        <v>7.5</v>
      </c>
      <c r="AH30" s="15">
        <v>8</v>
      </c>
      <c r="AI30" s="15">
        <v>5.5</v>
      </c>
      <c r="AJ30" s="16">
        <f t="shared" si="0"/>
        <v>198</v>
      </c>
      <c r="AK30" s="65">
        <f t="shared" si="1"/>
        <v>6.8275862068965516</v>
      </c>
    </row>
    <row r="31" spans="1:37" ht="15.5" x14ac:dyDescent="0.35">
      <c r="A31" s="8">
        <f>'Data Siswa'!A31</f>
        <v>30</v>
      </c>
      <c r="B31" s="78" t="str">
        <f>'Data Siswa'!B31</f>
        <v>SITI ADLAH</v>
      </c>
      <c r="C31" s="8" t="str">
        <f>'Data Siswa'!C31</f>
        <v>1233</v>
      </c>
      <c r="D31" s="15">
        <v>6.5</v>
      </c>
      <c r="E31" s="15">
        <v>5</v>
      </c>
      <c r="F31" s="15">
        <v>6</v>
      </c>
      <c r="G31" s="15">
        <v>7</v>
      </c>
      <c r="H31" s="15">
        <v>7</v>
      </c>
      <c r="I31" s="15">
        <v>6.5</v>
      </c>
      <c r="J31" s="15">
        <v>5.5</v>
      </c>
      <c r="K31" s="15">
        <v>7</v>
      </c>
      <c r="L31" s="15">
        <v>7</v>
      </c>
      <c r="M31" s="15">
        <v>5</v>
      </c>
      <c r="N31" s="15">
        <v>8</v>
      </c>
      <c r="O31" s="15">
        <v>4.5</v>
      </c>
      <c r="P31" s="15">
        <v>6.5</v>
      </c>
      <c r="Q31" s="15">
        <v>5.5</v>
      </c>
      <c r="R31" s="15">
        <v>5</v>
      </c>
      <c r="S31" s="15">
        <v>4.5</v>
      </c>
      <c r="T31" s="15">
        <v>7</v>
      </c>
      <c r="U31" s="15">
        <v>6</v>
      </c>
      <c r="V31" s="15">
        <v>5</v>
      </c>
      <c r="W31" s="15">
        <v>8</v>
      </c>
      <c r="X31" s="15">
        <v>7</v>
      </c>
      <c r="Y31" s="15">
        <v>7.5</v>
      </c>
      <c r="Z31" s="15">
        <v>9</v>
      </c>
      <c r="AA31" s="15">
        <v>6.5</v>
      </c>
      <c r="AB31" s="113"/>
      <c r="AC31" s="113"/>
      <c r="AD31" s="113"/>
      <c r="AE31" s="15">
        <v>8</v>
      </c>
      <c r="AF31" s="15">
        <v>8.5</v>
      </c>
      <c r="AG31" s="15">
        <v>7</v>
      </c>
      <c r="AH31" s="15">
        <v>8</v>
      </c>
      <c r="AI31" s="15">
        <v>6</v>
      </c>
      <c r="AJ31" s="16">
        <f t="shared" si="0"/>
        <v>190</v>
      </c>
      <c r="AK31" s="65">
        <f t="shared" si="1"/>
        <v>6.5517241379310347</v>
      </c>
    </row>
    <row r="32" spans="1:37" ht="15.5" x14ac:dyDescent="0.35">
      <c r="A32" s="8">
        <f>'Data Siswa'!A32</f>
        <v>31</v>
      </c>
      <c r="B32" s="78" t="str">
        <f>'Data Siswa'!B32</f>
        <v>SITI NURHALISAH</v>
      </c>
      <c r="C32" s="8" t="str">
        <f>'Data Siswa'!C32</f>
        <v>1234</v>
      </c>
      <c r="D32" s="15">
        <v>5</v>
      </c>
      <c r="E32" s="15">
        <v>6</v>
      </c>
      <c r="F32" s="15">
        <v>4.5</v>
      </c>
      <c r="G32" s="15">
        <v>5</v>
      </c>
      <c r="H32" s="15">
        <v>5</v>
      </c>
      <c r="I32" s="15">
        <v>6</v>
      </c>
      <c r="J32" s="15">
        <v>4</v>
      </c>
      <c r="K32" s="15">
        <v>4</v>
      </c>
      <c r="L32" s="15">
        <v>4.5</v>
      </c>
      <c r="M32" s="15">
        <v>4</v>
      </c>
      <c r="N32" s="15">
        <v>7.5</v>
      </c>
      <c r="O32" s="15">
        <v>4</v>
      </c>
      <c r="P32" s="15">
        <v>5</v>
      </c>
      <c r="Q32" s="15">
        <v>5.5</v>
      </c>
      <c r="R32" s="15">
        <v>6</v>
      </c>
      <c r="S32" s="15">
        <v>4</v>
      </c>
      <c r="T32" s="15">
        <v>6</v>
      </c>
      <c r="U32" s="15">
        <v>7</v>
      </c>
      <c r="V32" s="15">
        <v>4</v>
      </c>
      <c r="W32" s="15">
        <v>7</v>
      </c>
      <c r="X32" s="15">
        <v>8</v>
      </c>
      <c r="Y32" s="15">
        <v>7.5</v>
      </c>
      <c r="Z32" s="15">
        <v>8.5</v>
      </c>
      <c r="AA32" s="15">
        <v>6</v>
      </c>
      <c r="AB32" s="113"/>
      <c r="AC32" s="113"/>
      <c r="AD32" s="113"/>
      <c r="AE32" s="15">
        <v>8</v>
      </c>
      <c r="AF32" s="15">
        <v>8</v>
      </c>
      <c r="AG32" s="15">
        <v>6.5</v>
      </c>
      <c r="AH32" s="15">
        <v>8</v>
      </c>
      <c r="AI32" s="15">
        <v>6</v>
      </c>
      <c r="AJ32" s="16">
        <f t="shared" si="0"/>
        <v>170.5</v>
      </c>
      <c r="AK32" s="65">
        <f t="shared" si="1"/>
        <v>5.8793103448275863</v>
      </c>
    </row>
    <row r="33" spans="1:37" ht="15.5" x14ac:dyDescent="0.35">
      <c r="A33" s="8">
        <f>'Data Siswa'!A33</f>
        <v>32</v>
      </c>
      <c r="B33" s="78" t="str">
        <f>'Data Siswa'!B33</f>
        <v>TIA FATHATUL MUTHOHAROH</v>
      </c>
      <c r="C33" s="8" t="str">
        <f>'Data Siswa'!C33</f>
        <v>1235</v>
      </c>
      <c r="D33" s="15">
        <v>8</v>
      </c>
      <c r="E33" s="15">
        <v>5.5</v>
      </c>
      <c r="F33" s="15">
        <v>5</v>
      </c>
      <c r="G33" s="15">
        <v>7.5</v>
      </c>
      <c r="H33" s="15">
        <v>7.5</v>
      </c>
      <c r="I33" s="15">
        <v>7</v>
      </c>
      <c r="J33" s="15">
        <v>5</v>
      </c>
      <c r="K33" s="15">
        <v>7</v>
      </c>
      <c r="L33" s="15">
        <v>7</v>
      </c>
      <c r="M33" s="15">
        <v>5</v>
      </c>
      <c r="N33" s="15">
        <v>7</v>
      </c>
      <c r="O33" s="15">
        <v>6</v>
      </c>
      <c r="P33" s="15">
        <v>5</v>
      </c>
      <c r="Q33" s="15">
        <v>7.5</v>
      </c>
      <c r="R33" s="15">
        <v>5.5</v>
      </c>
      <c r="S33" s="15">
        <v>5</v>
      </c>
      <c r="T33" s="15">
        <v>7</v>
      </c>
      <c r="U33" s="15">
        <v>6</v>
      </c>
      <c r="V33" s="15">
        <v>7</v>
      </c>
      <c r="W33" s="15">
        <v>8</v>
      </c>
      <c r="X33" s="15">
        <v>7</v>
      </c>
      <c r="Y33" s="15">
        <v>7.5</v>
      </c>
      <c r="Z33" s="15">
        <v>8.5</v>
      </c>
      <c r="AA33" s="15">
        <v>8.5</v>
      </c>
      <c r="AB33" s="113"/>
      <c r="AC33" s="113"/>
      <c r="AD33" s="113"/>
      <c r="AE33" s="15">
        <v>8.5</v>
      </c>
      <c r="AF33" s="15">
        <v>8.5</v>
      </c>
      <c r="AG33" s="15">
        <v>7.5</v>
      </c>
      <c r="AH33" s="15">
        <v>8</v>
      </c>
      <c r="AI33" s="15">
        <v>7</v>
      </c>
      <c r="AJ33" s="16">
        <f t="shared" si="0"/>
        <v>199.5</v>
      </c>
      <c r="AK33" s="65">
        <f t="shared" si="1"/>
        <v>6.8793103448275863</v>
      </c>
    </row>
    <row r="34" spans="1:37" ht="15.5" x14ac:dyDescent="0.35">
      <c r="A34" s="8">
        <f>'Data Siswa'!A34</f>
        <v>33</v>
      </c>
      <c r="B34" s="78" t="str">
        <f>'Data Siswa'!B34</f>
        <v>VHISCA FAMELA ERICA</v>
      </c>
      <c r="C34" s="8" t="str">
        <f>'Data Siswa'!C34</f>
        <v>1236</v>
      </c>
      <c r="D34" s="15">
        <v>4.5</v>
      </c>
      <c r="E34" s="15">
        <v>5</v>
      </c>
      <c r="F34" s="15">
        <v>4.5</v>
      </c>
      <c r="G34" s="15">
        <v>5</v>
      </c>
      <c r="H34" s="15">
        <v>5</v>
      </c>
      <c r="I34" s="15">
        <v>6.5</v>
      </c>
      <c r="J34" s="15">
        <v>4</v>
      </c>
      <c r="K34" s="15">
        <v>4</v>
      </c>
      <c r="L34" s="15">
        <v>5</v>
      </c>
      <c r="M34" s="15">
        <v>5.5</v>
      </c>
      <c r="N34" s="15">
        <v>8</v>
      </c>
      <c r="O34" s="15">
        <v>4</v>
      </c>
      <c r="P34" s="15">
        <v>4</v>
      </c>
      <c r="Q34" s="15">
        <v>4</v>
      </c>
      <c r="R34" s="15">
        <v>5</v>
      </c>
      <c r="S34" s="15">
        <v>4.5</v>
      </c>
      <c r="T34" s="15">
        <v>6</v>
      </c>
      <c r="U34" s="15">
        <v>7</v>
      </c>
      <c r="V34" s="15">
        <v>5</v>
      </c>
      <c r="W34" s="15">
        <v>7</v>
      </c>
      <c r="X34" s="15">
        <v>8</v>
      </c>
      <c r="Y34" s="15">
        <v>7</v>
      </c>
      <c r="Z34" s="15">
        <v>7.5</v>
      </c>
      <c r="AA34" s="15">
        <v>6</v>
      </c>
      <c r="AB34" s="113"/>
      <c r="AC34" s="113"/>
      <c r="AD34" s="113"/>
      <c r="AE34" s="15">
        <v>8</v>
      </c>
      <c r="AF34" s="15">
        <v>9</v>
      </c>
      <c r="AG34" s="15">
        <v>7</v>
      </c>
      <c r="AH34" s="15">
        <v>8</v>
      </c>
      <c r="AI34" s="15">
        <v>6</v>
      </c>
      <c r="AJ34" s="16">
        <f t="shared" si="0"/>
        <v>170</v>
      </c>
      <c r="AK34" s="65">
        <f t="shared" si="1"/>
        <v>5.8620689655172411</v>
      </c>
    </row>
    <row r="35" spans="1:37" ht="15.5" x14ac:dyDescent="0.35">
      <c r="A35" s="8">
        <f>'Data Siswa'!A35</f>
        <v>34</v>
      </c>
      <c r="B35" s="78" t="str">
        <f>'Data Siswa'!B35</f>
        <v>ZAHROTUL AWWALIYAH</v>
      </c>
      <c r="C35" s="8" t="str">
        <f>'Data Siswa'!C35</f>
        <v>1237</v>
      </c>
      <c r="D35" s="15">
        <v>4.5</v>
      </c>
      <c r="E35" s="15">
        <v>5</v>
      </c>
      <c r="F35" s="15">
        <v>4</v>
      </c>
      <c r="G35" s="15">
        <v>4.5</v>
      </c>
      <c r="H35" s="15">
        <v>4.5</v>
      </c>
      <c r="I35" s="15">
        <v>6.5</v>
      </c>
      <c r="J35" s="15">
        <v>4</v>
      </c>
      <c r="K35" s="15">
        <v>6</v>
      </c>
      <c r="L35" s="15"/>
      <c r="M35" s="15">
        <v>5</v>
      </c>
      <c r="N35" s="15">
        <v>7.5</v>
      </c>
      <c r="O35" s="15">
        <v>4</v>
      </c>
      <c r="P35" s="15">
        <v>4.5</v>
      </c>
      <c r="Q35" s="15">
        <v>5</v>
      </c>
      <c r="R35" s="15">
        <v>5</v>
      </c>
      <c r="S35" s="15">
        <v>4</v>
      </c>
      <c r="T35" s="15">
        <v>7</v>
      </c>
      <c r="U35" s="15">
        <v>6</v>
      </c>
      <c r="V35" s="15"/>
      <c r="W35" s="15">
        <v>8</v>
      </c>
      <c r="X35" s="15">
        <v>7</v>
      </c>
      <c r="Y35" s="15">
        <v>7.5</v>
      </c>
      <c r="Z35" s="15">
        <v>7.5</v>
      </c>
      <c r="AA35" s="15"/>
      <c r="AB35" s="113"/>
      <c r="AC35" s="113"/>
      <c r="AD35" s="113"/>
      <c r="AE35" s="15">
        <v>8.5</v>
      </c>
      <c r="AF35" s="15">
        <v>8.5</v>
      </c>
      <c r="AG35" s="15">
        <v>7</v>
      </c>
      <c r="AH35" s="15">
        <v>8</v>
      </c>
      <c r="AI35" s="15">
        <v>5.5</v>
      </c>
      <c r="AJ35" s="16">
        <f t="shared" si="0"/>
        <v>154.5</v>
      </c>
      <c r="AK35" s="65">
        <f t="shared" si="1"/>
        <v>5.9423076923076925</v>
      </c>
    </row>
    <row r="36" spans="1:37" ht="15.5" x14ac:dyDescent="0.35">
      <c r="A36" s="8">
        <f>'Data Siswa'!A36</f>
        <v>35</v>
      </c>
      <c r="B36" s="78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13"/>
      <c r="AC36" s="113"/>
      <c r="AD36" s="113"/>
      <c r="AE36" s="15"/>
      <c r="AF36" s="15"/>
      <c r="AG36" s="15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8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13"/>
      <c r="AC37" s="113"/>
      <c r="AD37" s="113"/>
      <c r="AE37" s="15"/>
      <c r="AF37" s="15"/>
      <c r="AG37" s="15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8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13"/>
      <c r="AC38" s="113"/>
      <c r="AD38" s="113"/>
      <c r="AE38" s="15"/>
      <c r="AF38" s="15"/>
      <c r="AG38" s="15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8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13"/>
      <c r="AC39" s="113"/>
      <c r="AD39" s="113"/>
      <c r="AE39" s="15"/>
      <c r="AF39" s="15"/>
      <c r="AG39" s="15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8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13"/>
      <c r="AC40" s="113"/>
      <c r="AD40" s="113"/>
      <c r="AE40" s="15"/>
      <c r="AF40" s="15"/>
      <c r="AG40" s="15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8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13"/>
      <c r="AC41" s="113"/>
      <c r="AD41" s="113"/>
      <c r="AE41" s="15"/>
      <c r="AF41" s="15"/>
      <c r="AG41" s="15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T83lArOFcSmC04wgSSor4GC0u+xPG4kPFWkOet4H34XNsv2QubEHAihZrRxvjio4q45R4H7pMIYDIhQWzyDnYg==" saltValue="h0zpj4JDCmXDJ1zzGJw7qQ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A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E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86593-5A6F-A641-824A-F3F79518B3CF}">
  <sheetPr codeName="Lembar1"/>
  <dimension ref="A1"/>
  <sheetViews>
    <sheetView zoomScaleNormal="60" zoomScaleSheetLayoutView="100" workbookViewId="0"/>
  </sheetViews>
  <sheetFormatPr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P11" zoomScale="85" zoomScaleNormal="85" workbookViewId="0">
      <selection activeCell="S38" sqref="S3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7265625" customWidth="1"/>
    <col min="24" max="24" width="11.453125" bestFit="1" customWidth="1"/>
    <col min="25" max="25" width="7.6328125" customWidth="1"/>
    <col min="26" max="26" width="11.453125" style="5" customWidth="1"/>
  </cols>
  <sheetData>
    <row r="1" spans="1:26" ht="14.5" customHeight="1" x14ac:dyDescent="0.35">
      <c r="A1" s="132" t="s">
        <v>176</v>
      </c>
      <c r="B1" s="133"/>
      <c r="C1" s="134"/>
      <c r="D1" s="135" t="s">
        <v>177</v>
      </c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7"/>
      <c r="V1" s="142"/>
      <c r="W1" s="144" t="s">
        <v>175</v>
      </c>
      <c r="X1" s="145"/>
      <c r="Y1" s="146"/>
      <c r="Z1" s="71" t="s">
        <v>170</v>
      </c>
    </row>
    <row r="2" spans="1:26" ht="19.5" customHeight="1" x14ac:dyDescent="0.35">
      <c r="A2" s="140" t="s">
        <v>76</v>
      </c>
      <c r="B2" s="138" t="s">
        <v>55</v>
      </c>
      <c r="C2" s="140" t="s">
        <v>54</v>
      </c>
      <c r="D2" s="138" t="s">
        <v>81</v>
      </c>
      <c r="E2" s="138"/>
      <c r="F2" s="138"/>
      <c r="G2" s="138"/>
      <c r="H2" s="138"/>
      <c r="I2" s="138"/>
      <c r="J2" s="129" t="s">
        <v>82</v>
      </c>
      <c r="K2" s="130"/>
      <c r="L2" s="130"/>
      <c r="M2" s="130"/>
      <c r="N2" s="131"/>
      <c r="O2" s="129" t="s">
        <v>83</v>
      </c>
      <c r="P2" s="130"/>
      <c r="Q2" s="130"/>
      <c r="R2" s="130"/>
      <c r="S2" s="131"/>
      <c r="T2" s="138" t="s">
        <v>27</v>
      </c>
      <c r="U2" s="139" t="s">
        <v>99</v>
      </c>
      <c r="V2" s="143"/>
      <c r="W2" s="147" t="s">
        <v>42</v>
      </c>
      <c r="X2" s="147" t="s">
        <v>99</v>
      </c>
      <c r="Y2" s="147" t="s">
        <v>90</v>
      </c>
      <c r="Z2" s="141" t="s">
        <v>179</v>
      </c>
    </row>
    <row r="3" spans="1:26" ht="85" customHeight="1" x14ac:dyDescent="0.35">
      <c r="A3" s="140"/>
      <c r="B3" s="138"/>
      <c r="C3" s="140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269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38"/>
      <c r="U3" s="139"/>
      <c r="V3" s="143"/>
      <c r="W3" s="148"/>
      <c r="X3" s="148"/>
      <c r="Y3" s="148"/>
      <c r="Z3" s="141"/>
    </row>
    <row r="4" spans="1:26" ht="15.5" x14ac:dyDescent="0.35">
      <c r="A4" s="8">
        <f>'Data Siswa'!A2</f>
        <v>1</v>
      </c>
      <c r="B4" s="104" t="str">
        <f>'Data Siswa'!B2</f>
        <v>AISYAH DZAKIYYAH</v>
      </c>
      <c r="C4" s="8" t="str">
        <f>'Data Siswa'!C2</f>
        <v>1204</v>
      </c>
      <c r="D4" s="15">
        <v>5</v>
      </c>
      <c r="E4" s="15">
        <v>5</v>
      </c>
      <c r="F4" s="15">
        <v>5</v>
      </c>
      <c r="G4" s="15">
        <v>6</v>
      </c>
      <c r="H4" s="15">
        <v>5</v>
      </c>
      <c r="I4" s="15">
        <v>5.5</v>
      </c>
      <c r="J4" s="15">
        <v>6</v>
      </c>
      <c r="K4" s="15">
        <v>6</v>
      </c>
      <c r="L4" s="15">
        <v>5</v>
      </c>
      <c r="M4" s="15">
        <v>6</v>
      </c>
      <c r="N4" s="15">
        <v>6</v>
      </c>
      <c r="O4" s="15">
        <v>6</v>
      </c>
      <c r="P4" s="15">
        <v>5</v>
      </c>
      <c r="Q4" s="15">
        <v>6</v>
      </c>
      <c r="R4" s="15">
        <v>5.5</v>
      </c>
      <c r="S4" s="15">
        <v>7</v>
      </c>
      <c r="T4" s="73">
        <f t="shared" ref="T4:T43" si="0">SUM(D4:S4)</f>
        <v>90</v>
      </c>
      <c r="U4" s="74">
        <f t="shared" ref="U4:U43" si="1">AVERAGE(D4:S4)</f>
        <v>5.625</v>
      </c>
      <c r="V4" s="75"/>
      <c r="W4" s="73">
        <f>SUM('Nilai Tahriri'!AJ2,'Nilai Syafahi'!T4)</f>
        <v>241.5</v>
      </c>
      <c r="X4" s="74">
        <f>AVERAGE(D4:S4,'Nilai Tahriri'!D2:AI2)</f>
        <v>5.8902439024390247</v>
      </c>
      <c r="Y4" s="76">
        <f t="array" aca="1" ref="Y4" ca="1">SUM(IF(W4&lt;OFFSET($W$4,0,0,COUNT(W:W),1),1/COUNTIF(OFFSET($W$4,0,0,COUNT(W:W),1),OFFSET($W$4,0,0,COUNT(W:W),1))))+1</f>
        <v>28</v>
      </c>
      <c r="Z4" s="59" t="s">
        <v>281</v>
      </c>
    </row>
    <row r="5" spans="1:26" ht="15.5" x14ac:dyDescent="0.35">
      <c r="A5" s="8">
        <f>'Data Siswa'!A3</f>
        <v>2</v>
      </c>
      <c r="B5" s="105" t="str">
        <f>'Data Siswa'!B3</f>
        <v>ALINTRI SIFFA MULYANA</v>
      </c>
      <c r="C5" s="8" t="str">
        <f>'Data Siswa'!C3</f>
        <v>1205</v>
      </c>
      <c r="D5" s="15">
        <v>5</v>
      </c>
      <c r="E5" s="15">
        <v>5</v>
      </c>
      <c r="F5" s="15">
        <v>5.5</v>
      </c>
      <c r="G5" s="15">
        <v>6</v>
      </c>
      <c r="H5" s="15">
        <v>5</v>
      </c>
      <c r="I5" s="15">
        <v>6</v>
      </c>
      <c r="J5" s="15">
        <v>7</v>
      </c>
      <c r="K5" s="15">
        <v>6</v>
      </c>
      <c r="L5" s="15">
        <v>6.5</v>
      </c>
      <c r="M5" s="15">
        <v>7</v>
      </c>
      <c r="N5" s="15">
        <v>6</v>
      </c>
      <c r="O5" s="15">
        <v>6</v>
      </c>
      <c r="P5" s="15">
        <v>5</v>
      </c>
      <c r="Q5" s="15">
        <v>6</v>
      </c>
      <c r="R5" s="15">
        <v>6</v>
      </c>
      <c r="S5" s="15">
        <v>7.5</v>
      </c>
      <c r="T5" s="73">
        <f t="shared" si="0"/>
        <v>95.5</v>
      </c>
      <c r="U5" s="74">
        <f t="shared" si="1"/>
        <v>5.96875</v>
      </c>
      <c r="V5" s="75"/>
      <c r="W5" s="73">
        <f>SUM('Nilai Tahriri'!AJ3,'Nilai Syafahi'!T5)</f>
        <v>286.5</v>
      </c>
      <c r="X5" s="73">
        <f>AVERAGE(D5:S5,'Nilai Tahriri'!D3:AI3)</f>
        <v>6.3666666666666663</v>
      </c>
      <c r="Y5" s="76">
        <f t="array" aca="1" ref="Y5" ca="1">SUM(IF(W5&lt;OFFSET($W$4,0,0,COUNT(W:W),1),1/COUNTIF(OFFSET($W$4,0,0,COUNT(W:W),1),OFFSET($W$4,0,0,COUNT(W:W),1))))+1</f>
        <v>5</v>
      </c>
      <c r="Z5" s="59" t="s">
        <v>281</v>
      </c>
    </row>
    <row r="6" spans="1:26" ht="15.5" x14ac:dyDescent="0.35">
      <c r="A6" s="8">
        <f>'Data Siswa'!A4</f>
        <v>3</v>
      </c>
      <c r="B6" s="104" t="str">
        <f>'Data Siswa'!B4</f>
        <v>ANDINI DAHLIANI</v>
      </c>
      <c r="C6" s="8" t="str">
        <f>'Data Siswa'!C4</f>
        <v>1206</v>
      </c>
      <c r="D6" s="15">
        <v>4</v>
      </c>
      <c r="E6" s="15">
        <v>4.5</v>
      </c>
      <c r="F6" s="15">
        <v>4.5</v>
      </c>
      <c r="G6" s="15">
        <v>4</v>
      </c>
      <c r="H6" s="15">
        <v>4</v>
      </c>
      <c r="I6" s="15">
        <v>4.5</v>
      </c>
      <c r="J6" s="15">
        <v>5</v>
      </c>
      <c r="K6" s="15">
        <v>4.5</v>
      </c>
      <c r="L6" s="15">
        <v>4.5</v>
      </c>
      <c r="M6" s="15">
        <v>4.5</v>
      </c>
      <c r="N6" s="15">
        <v>5</v>
      </c>
      <c r="O6" s="15">
        <v>5</v>
      </c>
      <c r="P6" s="15">
        <v>5</v>
      </c>
      <c r="Q6" s="15">
        <v>5</v>
      </c>
      <c r="R6" s="15">
        <v>4.5</v>
      </c>
      <c r="S6" s="15">
        <v>6.5</v>
      </c>
      <c r="T6" s="73">
        <f t="shared" si="0"/>
        <v>75</v>
      </c>
      <c r="U6" s="74">
        <f t="shared" si="1"/>
        <v>4.6875</v>
      </c>
      <c r="V6" s="75"/>
      <c r="W6" s="73">
        <f>SUM('Nilai Tahriri'!AJ4,'Nilai Syafahi'!T6)</f>
        <v>231.5</v>
      </c>
      <c r="X6" s="73">
        <f>AVERAGE(D6:S6,'Nilai Tahriri'!D4:AI4)</f>
        <v>5.1444444444444448</v>
      </c>
      <c r="Y6" s="76">
        <f t="array" aca="1" ref="Y6" ca="1">SUM(IF(W6&lt;OFFSET($W$4,0,0,COUNT(W:W),1),1/COUNTIF(OFFSET($W$4,0,0,COUNT(W:W),1),OFFSET($W$4,0,0,COUNT(W:W),1))))+1</f>
        <v>29</v>
      </c>
      <c r="Z6" s="59" t="s">
        <v>281</v>
      </c>
    </row>
    <row r="7" spans="1:26" ht="15.5" x14ac:dyDescent="0.35">
      <c r="A7" s="8">
        <f>'Data Siswa'!A5</f>
        <v>4</v>
      </c>
      <c r="B7" s="104" t="str">
        <f>'Data Siswa'!B5</f>
        <v>ANGGITA RAMALIA</v>
      </c>
      <c r="C7" s="8" t="str">
        <f>'Data Siswa'!C5</f>
        <v>1207</v>
      </c>
      <c r="D7" s="15">
        <v>5</v>
      </c>
      <c r="E7" s="15">
        <v>6</v>
      </c>
      <c r="F7" s="15">
        <v>5</v>
      </c>
      <c r="G7" s="15">
        <v>6</v>
      </c>
      <c r="H7" s="15">
        <v>5</v>
      </c>
      <c r="I7" s="15">
        <v>6</v>
      </c>
      <c r="J7" s="15">
        <v>6.5</v>
      </c>
      <c r="K7" s="15">
        <v>7</v>
      </c>
      <c r="L7" s="15">
        <v>7</v>
      </c>
      <c r="M7" s="15">
        <v>6</v>
      </c>
      <c r="N7" s="15">
        <v>6.5</v>
      </c>
      <c r="O7" s="15">
        <v>6</v>
      </c>
      <c r="P7" s="15">
        <v>6</v>
      </c>
      <c r="Q7" s="15">
        <v>6.5</v>
      </c>
      <c r="R7" s="15">
        <v>6</v>
      </c>
      <c r="S7" s="15">
        <v>7.5</v>
      </c>
      <c r="T7" s="73">
        <f t="shared" si="0"/>
        <v>98</v>
      </c>
      <c r="U7" s="74">
        <f t="shared" si="1"/>
        <v>6.125</v>
      </c>
      <c r="V7" s="75"/>
      <c r="W7" s="73">
        <f>SUM('Nilai Tahriri'!AJ5,'Nilai Syafahi'!T7)</f>
        <v>278.5</v>
      </c>
      <c r="X7" s="73">
        <f>AVERAGE(D7:S7,'Nilai Tahriri'!D5:AI5)</f>
        <v>6.1888888888888891</v>
      </c>
      <c r="Y7" s="76">
        <f t="array" aca="1" ref="Y7" ca="1">SUM(IF(W7&lt;OFFSET($W$4,0,0,COUNT(W:W),1),1/COUNTIF(OFFSET($W$4,0,0,COUNT(W:W),1),OFFSET($W$4,0,0,COUNT(W:W),1))))+1</f>
        <v>8</v>
      </c>
      <c r="Z7" s="59" t="s">
        <v>281</v>
      </c>
    </row>
    <row r="8" spans="1:26" ht="15.5" x14ac:dyDescent="0.35">
      <c r="A8" s="8">
        <f>'Data Siswa'!A6</f>
        <v>5</v>
      </c>
      <c r="B8" s="104" t="str">
        <f>'Data Siswa'!B6</f>
        <v>AYUDYA LESTARI</v>
      </c>
      <c r="C8" s="8" t="str">
        <f>'Data Siswa'!C6</f>
        <v>1208</v>
      </c>
      <c r="D8" s="15">
        <v>4</v>
      </c>
      <c r="E8" s="15">
        <v>4.5</v>
      </c>
      <c r="F8" s="15">
        <v>4</v>
      </c>
      <c r="G8" s="15">
        <v>4</v>
      </c>
      <c r="H8" s="15">
        <v>4</v>
      </c>
      <c r="I8" s="15">
        <v>4</v>
      </c>
      <c r="J8" s="15">
        <v>5</v>
      </c>
      <c r="K8" s="15">
        <v>4.5</v>
      </c>
      <c r="L8" s="15">
        <v>4.5</v>
      </c>
      <c r="M8" s="15">
        <v>4.5</v>
      </c>
      <c r="N8" s="15">
        <v>5.5</v>
      </c>
      <c r="O8" s="15">
        <v>5</v>
      </c>
      <c r="P8" s="15">
        <v>5</v>
      </c>
      <c r="Q8" s="15">
        <v>5</v>
      </c>
      <c r="R8" s="15">
        <v>4.5</v>
      </c>
      <c r="S8" s="15">
        <v>4.5</v>
      </c>
      <c r="T8" s="73">
        <f t="shared" si="0"/>
        <v>72.5</v>
      </c>
      <c r="U8" s="74">
        <f t="shared" si="1"/>
        <v>4.53125</v>
      </c>
      <c r="V8" s="75"/>
      <c r="W8" s="73">
        <f>SUM('Nilai Tahriri'!AJ6,'Nilai Syafahi'!T8)</f>
        <v>229</v>
      </c>
      <c r="X8" s="73">
        <f>AVERAGE(D8:S8,'Nilai Tahriri'!D6:AI6)</f>
        <v>5.0888888888888886</v>
      </c>
      <c r="Y8" s="76">
        <f t="array" aca="1" ref="Y8" ca="1">SUM(IF(W8&lt;OFFSET($W$4,0,0,COUNT(W:W),1),1/COUNTIF(OFFSET($W$4,0,0,COUNT(W:W),1),OFFSET($W$4,0,0,COUNT(W:W),1))))+1</f>
        <v>31</v>
      </c>
      <c r="Z8" s="59" t="s">
        <v>281</v>
      </c>
    </row>
    <row r="9" spans="1:26" ht="15.5" x14ac:dyDescent="0.35">
      <c r="A9" s="8">
        <f>'Data Siswa'!A7</f>
        <v>6</v>
      </c>
      <c r="B9" s="104" t="str">
        <f>'Data Siswa'!B7</f>
        <v>CAHYANI WULANDARI</v>
      </c>
      <c r="C9" s="8" t="str">
        <f>'Data Siswa'!C7</f>
        <v>1209</v>
      </c>
      <c r="D9" s="15">
        <v>5</v>
      </c>
      <c r="E9" s="15">
        <v>5.5</v>
      </c>
      <c r="F9" s="15">
        <v>5.5</v>
      </c>
      <c r="G9" s="15">
        <v>5.5</v>
      </c>
      <c r="H9" s="15">
        <v>5</v>
      </c>
      <c r="I9" s="15">
        <v>6.5</v>
      </c>
      <c r="J9" s="15">
        <v>6</v>
      </c>
      <c r="K9" s="15">
        <v>5.5</v>
      </c>
      <c r="L9" s="15">
        <v>6.5</v>
      </c>
      <c r="M9" s="15">
        <v>6</v>
      </c>
      <c r="N9" s="15">
        <v>6.5</v>
      </c>
      <c r="O9" s="15">
        <v>6</v>
      </c>
      <c r="P9" s="15">
        <v>5.5</v>
      </c>
      <c r="Q9" s="15">
        <v>5</v>
      </c>
      <c r="R9" s="15">
        <v>4.5</v>
      </c>
      <c r="S9" s="15">
        <v>6</v>
      </c>
      <c r="T9" s="73">
        <f t="shared" si="0"/>
        <v>90.5</v>
      </c>
      <c r="U9" s="74">
        <f t="shared" si="1"/>
        <v>5.65625</v>
      </c>
      <c r="V9" s="75"/>
      <c r="W9" s="73">
        <f>SUM('Nilai Tahriri'!AJ7,'Nilai Syafahi'!T9)</f>
        <v>264.5</v>
      </c>
      <c r="X9" s="73">
        <f>AVERAGE(D9:S9,'Nilai Tahriri'!D7:AI7)</f>
        <v>5.8777777777777782</v>
      </c>
      <c r="Y9" s="76">
        <f t="array" aca="1" ref="Y9" ca="1">SUM(IF(W9&lt;OFFSET($W$4,0,0,COUNT(W:W),1),1/COUNTIF(OFFSET($W$4,0,0,COUNT(W:W),1),OFFSET($W$4,0,0,COUNT(W:W),1))))+1</f>
        <v>18</v>
      </c>
      <c r="Z9" s="59" t="s">
        <v>281</v>
      </c>
    </row>
    <row r="10" spans="1:26" ht="15.5" x14ac:dyDescent="0.35">
      <c r="A10" s="8">
        <f>'Data Siswa'!A8</f>
        <v>7</v>
      </c>
      <c r="B10" s="104" t="str">
        <f>'Data Siswa'!B8</f>
        <v>CINDY RAHMANATI</v>
      </c>
      <c r="C10" s="8" t="str">
        <f>'Data Siswa'!C8</f>
        <v>1210</v>
      </c>
      <c r="D10" s="15">
        <v>5</v>
      </c>
      <c r="E10" s="15">
        <v>5</v>
      </c>
      <c r="F10" s="15">
        <v>5</v>
      </c>
      <c r="G10" s="15">
        <v>4.5</v>
      </c>
      <c r="H10" s="15">
        <v>5</v>
      </c>
      <c r="I10" s="15">
        <v>5.5</v>
      </c>
      <c r="J10" s="15">
        <v>6</v>
      </c>
      <c r="K10" s="15">
        <v>7</v>
      </c>
      <c r="L10" s="15">
        <v>5.5</v>
      </c>
      <c r="M10" s="15">
        <v>6</v>
      </c>
      <c r="N10" s="15">
        <v>6</v>
      </c>
      <c r="O10" s="15">
        <v>5.5</v>
      </c>
      <c r="P10" s="15">
        <v>5.5</v>
      </c>
      <c r="Q10" s="15">
        <v>6</v>
      </c>
      <c r="R10" s="15">
        <v>5.5</v>
      </c>
      <c r="S10" s="15">
        <v>6</v>
      </c>
      <c r="T10" s="73">
        <f t="shared" si="0"/>
        <v>89</v>
      </c>
      <c r="U10" s="74">
        <f t="shared" si="1"/>
        <v>5.5625</v>
      </c>
      <c r="V10" s="75"/>
      <c r="W10" s="73">
        <f>SUM('Nilai Tahriri'!AJ8,'Nilai Syafahi'!T10)</f>
        <v>269</v>
      </c>
      <c r="X10" s="73">
        <f>AVERAGE(D10:S10,'Nilai Tahriri'!D8:AI8)</f>
        <v>5.9777777777777779</v>
      </c>
      <c r="Y10" s="76">
        <f t="array" aca="1" ref="Y10" ca="1">SUM(IF(W10&lt;OFFSET($W$4,0,0,COUNT(W:W),1),1/COUNTIF(OFFSET($W$4,0,0,COUNT(W:W),1),OFFSET($W$4,0,0,COUNT(W:W),1))))+1</f>
        <v>15</v>
      </c>
      <c r="Z10" s="59" t="s">
        <v>281</v>
      </c>
    </row>
    <row r="11" spans="1:26" ht="15.5" x14ac:dyDescent="0.35">
      <c r="A11" s="8">
        <f>'Data Siswa'!A9</f>
        <v>8</v>
      </c>
      <c r="B11" s="104" t="str">
        <f>'Data Siswa'!B9</f>
        <v>DEWI AMELLIA</v>
      </c>
      <c r="C11" s="8" t="str">
        <f>'Data Siswa'!C9</f>
        <v>1211</v>
      </c>
      <c r="D11" s="15">
        <v>5</v>
      </c>
      <c r="E11" s="15">
        <v>5.5</v>
      </c>
      <c r="F11" s="15">
        <v>5.5</v>
      </c>
      <c r="G11" s="15">
        <v>6</v>
      </c>
      <c r="H11" s="15">
        <v>5.5</v>
      </c>
      <c r="I11" s="15">
        <v>6</v>
      </c>
      <c r="J11" s="15">
        <v>7</v>
      </c>
      <c r="K11" s="15">
        <v>7</v>
      </c>
      <c r="L11" s="15">
        <v>7</v>
      </c>
      <c r="M11" s="15">
        <v>7</v>
      </c>
      <c r="N11" s="15">
        <v>6.5</v>
      </c>
      <c r="O11" s="15">
        <v>6.5</v>
      </c>
      <c r="P11" s="15">
        <v>5.5</v>
      </c>
      <c r="Q11" s="15">
        <v>6</v>
      </c>
      <c r="R11" s="15">
        <v>5.5</v>
      </c>
      <c r="S11" s="15">
        <v>6.5</v>
      </c>
      <c r="T11" s="73">
        <f t="shared" si="0"/>
        <v>98</v>
      </c>
      <c r="U11" s="74">
        <f t="shared" si="1"/>
        <v>6.125</v>
      </c>
      <c r="V11" s="75"/>
      <c r="W11" s="73">
        <f>SUM('Nilai Tahriri'!AJ9,'Nilai Syafahi'!T11)</f>
        <v>297</v>
      </c>
      <c r="X11" s="73">
        <f>AVERAGE(D11:S11,'Nilai Tahriri'!D9:AI9)</f>
        <v>6.6</v>
      </c>
      <c r="Y11" s="76">
        <f t="array" aca="1" ref="Y11" ca="1">SUM(IF(W11&lt;OFFSET($W$4,0,0,COUNT(W:W),1),1/COUNTIF(OFFSET($W$4,0,0,COUNT(W:W),1),OFFSET($W$4,0,0,COUNT(W:W),1))))+1</f>
        <v>1</v>
      </c>
      <c r="Z11" s="59" t="s">
        <v>281</v>
      </c>
    </row>
    <row r="12" spans="1:26" ht="15.5" x14ac:dyDescent="0.35">
      <c r="A12" s="8">
        <f>'Data Siswa'!A10</f>
        <v>9</v>
      </c>
      <c r="B12" s="104" t="str">
        <f>'Data Siswa'!B10</f>
        <v>EGIDIA AGISTA NOVELIN</v>
      </c>
      <c r="C12" s="8" t="str">
        <f>'Data Siswa'!C10</f>
        <v>1212</v>
      </c>
      <c r="D12" s="15">
        <v>5</v>
      </c>
      <c r="E12" s="15">
        <v>5.5</v>
      </c>
      <c r="F12" s="15">
        <v>5</v>
      </c>
      <c r="G12" s="15">
        <v>4.5</v>
      </c>
      <c r="H12" s="15">
        <v>5</v>
      </c>
      <c r="I12" s="15">
        <v>6</v>
      </c>
      <c r="J12" s="15">
        <v>7</v>
      </c>
      <c r="K12" s="15">
        <v>6</v>
      </c>
      <c r="L12" s="15">
        <v>6.5</v>
      </c>
      <c r="M12" s="15">
        <v>7</v>
      </c>
      <c r="N12" s="15">
        <v>6</v>
      </c>
      <c r="O12" s="15">
        <v>6</v>
      </c>
      <c r="P12" s="15">
        <v>5.5</v>
      </c>
      <c r="Q12" s="15">
        <v>6</v>
      </c>
      <c r="R12" s="15">
        <v>5.5</v>
      </c>
      <c r="S12" s="15">
        <v>6.5</v>
      </c>
      <c r="T12" s="73">
        <f t="shared" si="0"/>
        <v>93</v>
      </c>
      <c r="U12" s="74">
        <f t="shared" si="1"/>
        <v>5.8125</v>
      </c>
      <c r="V12" s="75"/>
      <c r="W12" s="73">
        <f>SUM('Nilai Tahriri'!AJ10,'Nilai Syafahi'!T12)</f>
        <v>282.5</v>
      </c>
      <c r="X12" s="73">
        <f>AVERAGE(D12:S12,'Nilai Tahriri'!D10:AI10)</f>
        <v>6.2777777777777777</v>
      </c>
      <c r="Y12" s="76">
        <f t="array" aca="1" ref="Y12" ca="1">SUM(IF(W12&lt;OFFSET($W$4,0,0,COUNT(W:W),1),1/COUNTIF(OFFSET($W$4,0,0,COUNT(W:W),1),OFFSET($W$4,0,0,COUNT(W:W),1))))+1</f>
        <v>7</v>
      </c>
      <c r="Z12" s="59" t="s">
        <v>281</v>
      </c>
    </row>
    <row r="13" spans="1:26" ht="15.5" x14ac:dyDescent="0.35">
      <c r="A13" s="8">
        <f>'Data Siswa'!A11</f>
        <v>10</v>
      </c>
      <c r="B13" s="104" t="str">
        <f>'Data Siswa'!B11</f>
        <v>ELSA MARDIANA</v>
      </c>
      <c r="C13" s="8" t="str">
        <f>'Data Siswa'!C11</f>
        <v>1213</v>
      </c>
      <c r="D13" s="15">
        <v>5</v>
      </c>
      <c r="E13" s="15">
        <v>6</v>
      </c>
      <c r="F13" s="15">
        <v>6</v>
      </c>
      <c r="G13" s="15">
        <v>5.5</v>
      </c>
      <c r="H13" s="15">
        <v>5.5</v>
      </c>
      <c r="I13" s="15">
        <v>6</v>
      </c>
      <c r="J13" s="15">
        <v>6</v>
      </c>
      <c r="K13" s="15">
        <v>6</v>
      </c>
      <c r="L13" s="15">
        <v>5.5</v>
      </c>
      <c r="M13" s="15">
        <v>6.5</v>
      </c>
      <c r="N13" s="15">
        <v>6.5</v>
      </c>
      <c r="O13" s="15">
        <v>6</v>
      </c>
      <c r="P13" s="15">
        <v>5.5</v>
      </c>
      <c r="Q13" s="15">
        <v>6</v>
      </c>
      <c r="R13" s="15">
        <v>5.5</v>
      </c>
      <c r="S13" s="15">
        <v>5.5</v>
      </c>
      <c r="T13" s="73">
        <f t="shared" si="0"/>
        <v>93</v>
      </c>
      <c r="U13" s="74">
        <f t="shared" si="1"/>
        <v>5.8125</v>
      </c>
      <c r="V13" s="75"/>
      <c r="W13" s="73">
        <f>SUM('Nilai Tahriri'!AJ11,'Nilai Syafahi'!T13)</f>
        <v>272</v>
      </c>
      <c r="X13" s="73">
        <f>AVERAGE(D13:S13,'Nilai Tahriri'!D11:AI11)</f>
        <v>6.0444444444444443</v>
      </c>
      <c r="Y13" s="76">
        <f t="array" aca="1" ref="Y13" ca="1">SUM(IF(W13&lt;OFFSET($W$4,0,0,COUNT(W:W),1),1/COUNTIF(OFFSET($W$4,0,0,COUNT(W:W),1),OFFSET($W$4,0,0,COUNT(W:W),1))))+1</f>
        <v>12</v>
      </c>
      <c r="Z13" s="59" t="s">
        <v>281</v>
      </c>
    </row>
    <row r="14" spans="1:26" ht="15.5" x14ac:dyDescent="0.35">
      <c r="A14" s="8">
        <f>'Data Siswa'!A12</f>
        <v>11</v>
      </c>
      <c r="B14" s="104" t="str">
        <f>'Data Siswa'!B12</f>
        <v>ERINA ANGGRAENI</v>
      </c>
      <c r="C14" s="8" t="str">
        <f>'Data Siswa'!C12</f>
        <v>1214</v>
      </c>
      <c r="D14" s="15">
        <v>5</v>
      </c>
      <c r="E14" s="15">
        <v>6.5</v>
      </c>
      <c r="F14" s="15">
        <v>6</v>
      </c>
      <c r="G14" s="15">
        <v>6</v>
      </c>
      <c r="H14" s="15">
        <v>6</v>
      </c>
      <c r="I14" s="15">
        <v>6.5</v>
      </c>
      <c r="J14" s="15">
        <v>6</v>
      </c>
      <c r="K14" s="15">
        <v>6</v>
      </c>
      <c r="L14" s="15">
        <v>6</v>
      </c>
      <c r="M14" s="15">
        <v>6.5</v>
      </c>
      <c r="N14" s="15">
        <v>6.5</v>
      </c>
      <c r="O14" s="15">
        <v>6</v>
      </c>
      <c r="P14" s="15">
        <v>5.5</v>
      </c>
      <c r="Q14" s="15">
        <v>6</v>
      </c>
      <c r="R14" s="15">
        <v>5.5</v>
      </c>
      <c r="S14" s="15">
        <v>6</v>
      </c>
      <c r="T14" s="73">
        <f t="shared" si="0"/>
        <v>96</v>
      </c>
      <c r="U14" s="74">
        <f t="shared" si="1"/>
        <v>6</v>
      </c>
      <c r="V14" s="75"/>
      <c r="W14" s="73">
        <f>SUM('Nilai Tahriri'!AJ12,'Nilai Syafahi'!T14)</f>
        <v>273</v>
      </c>
      <c r="X14" s="73">
        <f>AVERAGE(D14:S14,'Nilai Tahriri'!D12:AI12)</f>
        <v>6.0666666666666664</v>
      </c>
      <c r="Y14" s="76">
        <f t="array" aca="1" ref="Y14" ca="1">SUM(IF(W14&lt;OFFSET($W$4,0,0,COUNT(W:W),1),1/COUNTIF(OFFSET($W$4,0,0,COUNT(W:W),1),OFFSET($W$4,0,0,COUNT(W:W),1))))+1</f>
        <v>10</v>
      </c>
      <c r="Z14" s="59" t="s">
        <v>281</v>
      </c>
    </row>
    <row r="15" spans="1:26" ht="15.5" x14ac:dyDescent="0.35">
      <c r="A15" s="8">
        <f>'Data Siswa'!A13</f>
        <v>12</v>
      </c>
      <c r="B15" s="104" t="str">
        <f>'Data Siswa'!B13</f>
        <v>FAHIRA IKMALIA HADI</v>
      </c>
      <c r="C15" s="8" t="str">
        <f>'Data Siswa'!C13</f>
        <v>1215</v>
      </c>
      <c r="D15" s="15">
        <v>5</v>
      </c>
      <c r="E15" s="15">
        <v>4.5</v>
      </c>
      <c r="F15" s="15">
        <v>6</v>
      </c>
      <c r="G15" s="15">
        <v>6</v>
      </c>
      <c r="H15" s="15">
        <v>5.5</v>
      </c>
      <c r="I15" s="15">
        <v>6</v>
      </c>
      <c r="J15" s="15">
        <v>6</v>
      </c>
      <c r="K15" s="15">
        <v>5.5</v>
      </c>
      <c r="L15" s="15">
        <v>6</v>
      </c>
      <c r="M15" s="15">
        <v>6.5</v>
      </c>
      <c r="N15" s="15">
        <v>6</v>
      </c>
      <c r="O15" s="15">
        <v>6</v>
      </c>
      <c r="P15" s="15">
        <v>5</v>
      </c>
      <c r="Q15" s="15">
        <v>6</v>
      </c>
      <c r="R15" s="15">
        <v>5.5</v>
      </c>
      <c r="S15" s="15">
        <v>6.5</v>
      </c>
      <c r="T15" s="73">
        <f t="shared" si="0"/>
        <v>92</v>
      </c>
      <c r="U15" s="74">
        <f t="shared" si="1"/>
        <v>5.75</v>
      </c>
      <c r="V15" s="75"/>
      <c r="W15" s="73">
        <f>SUM('Nilai Tahriri'!AJ13,'Nilai Syafahi'!T15)</f>
        <v>262.5</v>
      </c>
      <c r="X15" s="73">
        <f>AVERAGE(D15:S15,'Nilai Tahriri'!D13:AI13)</f>
        <v>5.833333333333333</v>
      </c>
      <c r="Y15" s="76">
        <f t="array" aca="1" ref="Y15" ca="1">SUM(IF(W15&lt;OFFSET($W$4,0,0,COUNT(W:W),1),1/COUNTIF(OFFSET($W$4,0,0,COUNT(W:W),1),OFFSET($W$4,0,0,COUNT(W:W),1))))+1</f>
        <v>19</v>
      </c>
      <c r="Z15" s="59" t="s">
        <v>281</v>
      </c>
    </row>
    <row r="16" spans="1:26" ht="15.5" x14ac:dyDescent="0.35">
      <c r="A16" s="8">
        <f>'Data Siswa'!A14</f>
        <v>13</v>
      </c>
      <c r="B16" s="104" t="str">
        <f>'Data Siswa'!B14</f>
        <v>FANI RISKA VIANA</v>
      </c>
      <c r="C16" s="8" t="str">
        <f>'Data Siswa'!C14</f>
        <v>1216</v>
      </c>
      <c r="D16" s="15">
        <v>5</v>
      </c>
      <c r="E16" s="15">
        <v>6</v>
      </c>
      <c r="F16" s="15">
        <v>6</v>
      </c>
      <c r="G16" s="15">
        <v>5.5</v>
      </c>
      <c r="H16" s="15">
        <v>5.5</v>
      </c>
      <c r="I16" s="15">
        <v>7</v>
      </c>
      <c r="J16" s="15">
        <v>5</v>
      </c>
      <c r="K16" s="15">
        <v>4.5</v>
      </c>
      <c r="L16" s="15">
        <v>5</v>
      </c>
      <c r="M16" s="15">
        <v>5.5</v>
      </c>
      <c r="N16" s="15">
        <v>6</v>
      </c>
      <c r="O16" s="15">
        <v>6</v>
      </c>
      <c r="P16" s="15">
        <v>5</v>
      </c>
      <c r="Q16" s="15">
        <v>6</v>
      </c>
      <c r="R16" s="15">
        <v>4.5</v>
      </c>
      <c r="S16" s="15">
        <v>6.5</v>
      </c>
      <c r="T16" s="73">
        <f t="shared" si="0"/>
        <v>89</v>
      </c>
      <c r="U16" s="74">
        <f t="shared" si="1"/>
        <v>5.5625</v>
      </c>
      <c r="V16" s="75"/>
      <c r="W16" s="73">
        <f>SUM('Nilai Tahriri'!AJ14,'Nilai Syafahi'!T16)</f>
        <v>271.5</v>
      </c>
      <c r="X16" s="73">
        <f>AVERAGE(D16:S16,'Nilai Tahriri'!D14:AI14)</f>
        <v>6.0333333333333332</v>
      </c>
      <c r="Y16" s="76">
        <f t="array" aca="1" ref="Y16" ca="1">SUM(IF(W16&lt;OFFSET($W$4,0,0,COUNT(W:W),1),1/COUNTIF(OFFSET($W$4,0,0,COUNT(W:W),1),OFFSET($W$4,0,0,COUNT(W:W),1))))+1</f>
        <v>13</v>
      </c>
      <c r="Z16" s="59" t="s">
        <v>281</v>
      </c>
    </row>
    <row r="17" spans="1:26" ht="15.5" x14ac:dyDescent="0.35">
      <c r="A17" s="8">
        <f>'Data Siswa'!A15</f>
        <v>14</v>
      </c>
      <c r="B17" s="104" t="str">
        <f>'Data Siswa'!B15</f>
        <v>FIKA NUR AMELIA</v>
      </c>
      <c r="C17" s="8" t="str">
        <f>'Data Siswa'!C15</f>
        <v>1217</v>
      </c>
      <c r="D17" s="15">
        <v>5</v>
      </c>
      <c r="E17" s="15">
        <v>4.5</v>
      </c>
      <c r="F17" s="15">
        <v>6</v>
      </c>
      <c r="G17" s="15">
        <v>4.5</v>
      </c>
      <c r="H17" s="15">
        <v>5.5</v>
      </c>
      <c r="I17" s="15">
        <v>6</v>
      </c>
      <c r="J17" s="15">
        <v>5</v>
      </c>
      <c r="K17" s="15">
        <v>4.5</v>
      </c>
      <c r="L17" s="15">
        <v>5</v>
      </c>
      <c r="M17" s="15">
        <v>5</v>
      </c>
      <c r="N17" s="15">
        <v>5.5</v>
      </c>
      <c r="O17" s="15">
        <v>5</v>
      </c>
      <c r="P17" s="15">
        <v>5</v>
      </c>
      <c r="Q17" s="15">
        <v>5.5</v>
      </c>
      <c r="R17" s="15">
        <v>4.5</v>
      </c>
      <c r="S17" s="15">
        <v>5.5</v>
      </c>
      <c r="T17" s="73">
        <f t="shared" si="0"/>
        <v>82</v>
      </c>
      <c r="U17" s="74">
        <f t="shared" si="1"/>
        <v>5.125</v>
      </c>
      <c r="V17" s="75"/>
      <c r="W17" s="73">
        <f>SUM('Nilai Tahriri'!AJ15,'Nilai Syafahi'!T17)</f>
        <v>252</v>
      </c>
      <c r="X17" s="73">
        <f>AVERAGE(D17:S17,'Nilai Tahriri'!D15:AI15)</f>
        <v>5.6</v>
      </c>
      <c r="Y17" s="76">
        <f t="array" aca="1" ref="Y17" ca="1">SUM(IF(W17&lt;OFFSET($W$4,0,0,COUNT(W:W),1),1/COUNTIF(OFFSET($W$4,0,0,COUNT(W:W),1),OFFSET($W$4,0,0,COUNT(W:W),1))))+1</f>
        <v>23</v>
      </c>
      <c r="Z17" s="59" t="s">
        <v>281</v>
      </c>
    </row>
    <row r="18" spans="1:26" ht="15.5" x14ac:dyDescent="0.35">
      <c r="A18" s="8">
        <f>'Data Siswa'!A16</f>
        <v>15</v>
      </c>
      <c r="B18" s="104" t="str">
        <f>'Data Siswa'!B16</f>
        <v>INDAH MAWADDAH</v>
      </c>
      <c r="C18" s="8" t="str">
        <f>'Data Siswa'!C16</f>
        <v>1218</v>
      </c>
      <c r="D18" s="15">
        <v>5</v>
      </c>
      <c r="E18" s="15">
        <v>4.5</v>
      </c>
      <c r="F18" s="15">
        <v>6</v>
      </c>
      <c r="G18" s="15">
        <v>4.5</v>
      </c>
      <c r="H18" s="15">
        <v>5.5</v>
      </c>
      <c r="I18" s="15">
        <v>6</v>
      </c>
      <c r="J18" s="15">
        <v>5</v>
      </c>
      <c r="K18" s="15">
        <v>4.5</v>
      </c>
      <c r="L18" s="15">
        <v>5</v>
      </c>
      <c r="M18" s="15">
        <v>5.5</v>
      </c>
      <c r="N18" s="15">
        <v>5.5</v>
      </c>
      <c r="O18" s="15">
        <v>5.5</v>
      </c>
      <c r="P18" s="15">
        <v>5</v>
      </c>
      <c r="Q18" s="15">
        <v>6</v>
      </c>
      <c r="R18" s="15">
        <v>5</v>
      </c>
      <c r="S18" s="15">
        <v>5.5</v>
      </c>
      <c r="T18" s="73">
        <f t="shared" si="0"/>
        <v>84</v>
      </c>
      <c r="U18" s="74">
        <f t="shared" si="1"/>
        <v>5.25</v>
      </c>
      <c r="V18" s="75"/>
      <c r="W18" s="73">
        <f>SUM('Nilai Tahriri'!AJ16,'Nilai Syafahi'!T18)</f>
        <v>252</v>
      </c>
      <c r="X18" s="73">
        <f>AVERAGE(D18:S18,'Nilai Tahriri'!D16:AI16)</f>
        <v>5.6</v>
      </c>
      <c r="Y18" s="76">
        <f t="array" aca="1" ref="Y18" ca="1">SUM(IF(W18&lt;OFFSET($W$4,0,0,COUNT(W:W),1),1/COUNTIF(OFFSET($W$4,0,0,COUNT(W:W),1),OFFSET($W$4,0,0,COUNT(W:W),1))))+1</f>
        <v>23</v>
      </c>
      <c r="Z18" s="59" t="s">
        <v>281</v>
      </c>
    </row>
    <row r="19" spans="1:26" ht="15.5" x14ac:dyDescent="0.35">
      <c r="A19" s="8">
        <f>'Data Siswa'!A17</f>
        <v>16</v>
      </c>
      <c r="B19" s="104" t="str">
        <f>'Data Siswa'!B17</f>
        <v>INTAN NURRIZKA</v>
      </c>
      <c r="C19" s="8" t="str">
        <f>'Data Siswa'!C17</f>
        <v>1219</v>
      </c>
      <c r="D19" s="15">
        <v>5</v>
      </c>
      <c r="E19" s="15">
        <v>6.5</v>
      </c>
      <c r="F19" s="15">
        <v>6</v>
      </c>
      <c r="G19" s="15">
        <v>5</v>
      </c>
      <c r="H19" s="15">
        <v>5.5</v>
      </c>
      <c r="I19" s="15">
        <v>6</v>
      </c>
      <c r="J19" s="15">
        <v>5</v>
      </c>
      <c r="K19" s="15">
        <v>5</v>
      </c>
      <c r="L19" s="15">
        <v>5</v>
      </c>
      <c r="M19" s="15">
        <v>5</v>
      </c>
      <c r="N19" s="15">
        <v>5</v>
      </c>
      <c r="O19" s="15">
        <v>6</v>
      </c>
      <c r="P19" s="15">
        <v>6</v>
      </c>
      <c r="Q19" s="15">
        <v>6.5</v>
      </c>
      <c r="R19" s="15">
        <v>5.5</v>
      </c>
      <c r="S19" s="15">
        <v>6.5</v>
      </c>
      <c r="T19" s="73">
        <f t="shared" si="0"/>
        <v>89.5</v>
      </c>
      <c r="U19" s="74">
        <f t="shared" si="1"/>
        <v>5.59375</v>
      </c>
      <c r="V19" s="75"/>
      <c r="W19" s="73">
        <f>SUM('Nilai Tahriri'!AJ17,'Nilai Syafahi'!T19)</f>
        <v>278.5</v>
      </c>
      <c r="X19" s="73">
        <f>AVERAGE(D19:S19,'Nilai Tahriri'!D17:AI17)</f>
        <v>6.1888888888888891</v>
      </c>
      <c r="Y19" s="76">
        <f t="array" aca="1" ref="Y19" ca="1">SUM(IF(W19&lt;OFFSET($W$4,0,0,COUNT(W:W),1),1/COUNTIF(OFFSET($W$4,0,0,COUNT(W:W),1),OFFSET($W$4,0,0,COUNT(W:W),1))))+1</f>
        <v>8</v>
      </c>
      <c r="Z19" s="59" t="s">
        <v>281</v>
      </c>
    </row>
    <row r="20" spans="1:26" ht="15.5" x14ac:dyDescent="0.35">
      <c r="A20" s="8">
        <f>'Data Siswa'!A18</f>
        <v>17</v>
      </c>
      <c r="B20" s="104" t="str">
        <f>'Data Siswa'!B18</f>
        <v>KEISYA AURA RUSDIANSYAH</v>
      </c>
      <c r="C20" s="8" t="str">
        <f>'Data Siswa'!C18</f>
        <v>1220</v>
      </c>
      <c r="D20" s="15">
        <v>5</v>
      </c>
      <c r="E20" s="15">
        <v>5.5</v>
      </c>
      <c r="F20" s="15">
        <v>5</v>
      </c>
      <c r="G20" s="15">
        <v>5</v>
      </c>
      <c r="H20" s="15">
        <v>5.5</v>
      </c>
      <c r="I20" s="15">
        <v>5</v>
      </c>
      <c r="J20" s="15">
        <v>5</v>
      </c>
      <c r="K20" s="15">
        <v>5</v>
      </c>
      <c r="L20" s="15">
        <v>5</v>
      </c>
      <c r="M20" s="15">
        <v>5</v>
      </c>
      <c r="N20" s="15">
        <v>5</v>
      </c>
      <c r="O20" s="15">
        <v>6</v>
      </c>
      <c r="P20" s="15">
        <v>5</v>
      </c>
      <c r="Q20" s="15">
        <v>5.5</v>
      </c>
      <c r="R20" s="15">
        <v>5</v>
      </c>
      <c r="S20" s="15">
        <v>5.5</v>
      </c>
      <c r="T20" s="73">
        <f t="shared" si="0"/>
        <v>83</v>
      </c>
      <c r="U20" s="74">
        <f t="shared" si="1"/>
        <v>5.1875</v>
      </c>
      <c r="V20" s="75"/>
      <c r="W20" s="73">
        <f>SUM('Nilai Tahriri'!AJ18,'Nilai Syafahi'!T20)</f>
        <v>258</v>
      </c>
      <c r="X20" s="73">
        <f>AVERAGE(D20:S20,'Nilai Tahriri'!D18:AI18)</f>
        <v>5.7333333333333334</v>
      </c>
      <c r="Y20" s="76">
        <f t="array" aca="1" ref="Y20" ca="1">SUM(IF(W20&lt;OFFSET($W$4,0,0,COUNT(W:W),1),1/COUNTIF(OFFSET($W$4,0,0,COUNT(W:W),1),OFFSET($W$4,0,0,COUNT(W:W),1))))+1</f>
        <v>22</v>
      </c>
      <c r="Z20" s="59" t="s">
        <v>281</v>
      </c>
    </row>
    <row r="21" spans="1:26" ht="15.5" x14ac:dyDescent="0.35">
      <c r="A21" s="8">
        <f>'Data Siswa'!A19</f>
        <v>18</v>
      </c>
      <c r="B21" s="104" t="str">
        <f>'Data Siswa'!B19</f>
        <v>LESTIANA LUXMY MADINA NUSA</v>
      </c>
      <c r="C21" s="8" t="str">
        <f>'Data Siswa'!C19</f>
        <v>1221</v>
      </c>
      <c r="D21" s="15">
        <v>5</v>
      </c>
      <c r="E21" s="15">
        <v>6</v>
      </c>
      <c r="F21" s="15">
        <v>5.5</v>
      </c>
      <c r="G21" s="15">
        <v>5</v>
      </c>
      <c r="H21" s="15">
        <v>5.5</v>
      </c>
      <c r="I21" s="15">
        <v>5</v>
      </c>
      <c r="J21" s="15">
        <v>5</v>
      </c>
      <c r="K21" s="15">
        <v>4.5</v>
      </c>
      <c r="L21" s="15">
        <v>5</v>
      </c>
      <c r="M21" s="15">
        <v>5</v>
      </c>
      <c r="N21" s="15">
        <v>5</v>
      </c>
      <c r="O21" s="15">
        <v>6</v>
      </c>
      <c r="P21" s="15">
        <v>6.5</v>
      </c>
      <c r="Q21" s="15">
        <v>6</v>
      </c>
      <c r="R21" s="15">
        <v>5.5</v>
      </c>
      <c r="S21" s="15">
        <v>6</v>
      </c>
      <c r="T21" s="73">
        <f t="shared" si="0"/>
        <v>86.5</v>
      </c>
      <c r="U21" s="74">
        <f t="shared" si="1"/>
        <v>5.40625</v>
      </c>
      <c r="V21" s="75"/>
      <c r="W21" s="73">
        <f>SUM('Nilai Tahriri'!AJ19,'Nilai Syafahi'!T21)</f>
        <v>249.5</v>
      </c>
      <c r="X21" s="73">
        <f>AVERAGE(D21:S21,'Nilai Tahriri'!D19:AI19)</f>
        <v>5.8023255813953485</v>
      </c>
      <c r="Y21" s="76">
        <f t="array" aca="1" ref="Y21" ca="1">SUM(IF(W21&lt;OFFSET($W$4,0,0,COUNT(W:W),1),1/COUNTIF(OFFSET($W$4,0,0,COUNT(W:W),1),OFFSET($W$4,0,0,COUNT(W:W),1))))+1</f>
        <v>24</v>
      </c>
      <c r="Z21" s="59" t="s">
        <v>281</v>
      </c>
    </row>
    <row r="22" spans="1:26" ht="15.5" x14ac:dyDescent="0.35">
      <c r="A22" s="8">
        <f>'Data Siswa'!A20</f>
        <v>19</v>
      </c>
      <c r="B22" s="104" t="str">
        <f>'Data Siswa'!B20</f>
        <v>MEIRIN NUR SANDRILA</v>
      </c>
      <c r="C22" s="8" t="str">
        <f>'Data Siswa'!C20</f>
        <v>1222</v>
      </c>
      <c r="D22" s="15">
        <v>5</v>
      </c>
      <c r="E22" s="15">
        <v>6.5</v>
      </c>
      <c r="F22" s="15">
        <v>6</v>
      </c>
      <c r="G22" s="15">
        <v>6</v>
      </c>
      <c r="H22" s="15">
        <v>6</v>
      </c>
      <c r="I22" s="15">
        <v>6.5</v>
      </c>
      <c r="J22" s="15">
        <v>6.5</v>
      </c>
      <c r="K22" s="15">
        <v>7</v>
      </c>
      <c r="L22" s="15">
        <v>7</v>
      </c>
      <c r="M22" s="15">
        <v>7</v>
      </c>
      <c r="N22" s="15">
        <v>7</v>
      </c>
      <c r="O22" s="15">
        <v>6.5</v>
      </c>
      <c r="P22" s="15">
        <v>6.5</v>
      </c>
      <c r="Q22" s="15">
        <v>6.5</v>
      </c>
      <c r="R22" s="15">
        <v>5.5</v>
      </c>
      <c r="S22" s="15">
        <v>6</v>
      </c>
      <c r="T22" s="73">
        <f t="shared" si="0"/>
        <v>101.5</v>
      </c>
      <c r="U22" s="74">
        <f t="shared" si="1"/>
        <v>6.34375</v>
      </c>
      <c r="V22" s="75"/>
      <c r="W22" s="73">
        <f>SUM('Nilai Tahriri'!AJ20,'Nilai Syafahi'!T22)</f>
        <v>296.5</v>
      </c>
      <c r="X22" s="73">
        <f>AVERAGE(D22:S22,'Nilai Tahriri'!D20:AI20)</f>
        <v>6.5888888888888886</v>
      </c>
      <c r="Y22" s="76">
        <f t="array" aca="1" ref="Y22" ca="1">SUM(IF(W22&lt;OFFSET($W$4,0,0,COUNT(W:W),1),1/COUNTIF(OFFSET($W$4,0,0,COUNT(W:W),1),OFFSET($W$4,0,0,COUNT(W:W),1))))+1</f>
        <v>2</v>
      </c>
      <c r="Z22" s="59" t="s">
        <v>281</v>
      </c>
    </row>
    <row r="23" spans="1:26" ht="15.5" x14ac:dyDescent="0.35">
      <c r="A23" s="8">
        <f>'Data Siswa'!A21</f>
        <v>20</v>
      </c>
      <c r="B23" s="104" t="str">
        <f>'Data Siswa'!B21</f>
        <v>NAJWA KHOERUNNISA</v>
      </c>
      <c r="C23" s="8" t="str">
        <f>'Data Siswa'!C21</f>
        <v>1223</v>
      </c>
      <c r="D23" s="15">
        <v>5</v>
      </c>
      <c r="E23" s="15">
        <v>6</v>
      </c>
      <c r="F23" s="15">
        <v>5.5</v>
      </c>
      <c r="G23" s="15">
        <v>5</v>
      </c>
      <c r="H23" s="15">
        <v>5.5</v>
      </c>
      <c r="I23" s="15">
        <v>6</v>
      </c>
      <c r="J23" s="15">
        <v>6</v>
      </c>
      <c r="K23" s="15">
        <v>7</v>
      </c>
      <c r="L23" s="15">
        <v>6.5</v>
      </c>
      <c r="M23" s="15">
        <v>5.5</v>
      </c>
      <c r="N23" s="15">
        <v>5.5</v>
      </c>
      <c r="O23" s="15">
        <v>6</v>
      </c>
      <c r="P23" s="15">
        <v>6</v>
      </c>
      <c r="Q23" s="15">
        <v>6</v>
      </c>
      <c r="R23" s="15">
        <v>5.5</v>
      </c>
      <c r="S23" s="15">
        <v>6</v>
      </c>
      <c r="T23" s="73">
        <f t="shared" si="0"/>
        <v>93</v>
      </c>
      <c r="U23" s="74">
        <f t="shared" si="1"/>
        <v>5.8125</v>
      </c>
      <c r="V23" s="75"/>
      <c r="W23" s="73">
        <f>SUM('Nilai Tahriri'!AJ21,'Nilai Syafahi'!T23)</f>
        <v>273.5</v>
      </c>
      <c r="X23" s="73">
        <f>AVERAGE(D23:S23,'Nilai Tahriri'!D21:AI21)</f>
        <v>6.0777777777777775</v>
      </c>
      <c r="Y23" s="76">
        <f t="array" aca="1" ref="Y23" ca="1">SUM(IF(W23&lt;OFFSET($W$4,0,0,COUNT(W:W),1),1/COUNTIF(OFFSET($W$4,0,0,COUNT(W:W),1),OFFSET($W$4,0,0,COUNT(W:W),1))))+1</f>
        <v>9</v>
      </c>
      <c r="Z23" s="59" t="s">
        <v>281</v>
      </c>
    </row>
    <row r="24" spans="1:26" ht="15.5" x14ac:dyDescent="0.35">
      <c r="A24" s="8">
        <f>'Data Siswa'!A22</f>
        <v>21</v>
      </c>
      <c r="B24" s="104" t="str">
        <f>'Data Siswa'!B22</f>
        <v>NAJWA ZAHROTUNNISA</v>
      </c>
      <c r="C24" s="8" t="str">
        <f>'Data Siswa'!C22</f>
        <v>1224</v>
      </c>
      <c r="D24" s="15">
        <v>4.5</v>
      </c>
      <c r="E24" s="15">
        <v>5.5</v>
      </c>
      <c r="F24" s="15">
        <v>4.5</v>
      </c>
      <c r="G24" s="15">
        <v>5</v>
      </c>
      <c r="H24" s="15">
        <v>5.5</v>
      </c>
      <c r="I24" s="15">
        <v>5</v>
      </c>
      <c r="J24" s="15">
        <v>6</v>
      </c>
      <c r="K24" s="15">
        <v>5</v>
      </c>
      <c r="L24" s="15">
        <v>4.5</v>
      </c>
      <c r="M24" s="15">
        <v>5.5</v>
      </c>
      <c r="N24" s="15">
        <v>5.5</v>
      </c>
      <c r="O24" s="15">
        <v>6</v>
      </c>
      <c r="P24" s="15">
        <v>5.5</v>
      </c>
      <c r="Q24" s="15">
        <v>5.5</v>
      </c>
      <c r="R24" s="15">
        <v>5</v>
      </c>
      <c r="S24" s="15">
        <v>5.5</v>
      </c>
      <c r="T24" s="73">
        <f t="shared" si="0"/>
        <v>84</v>
      </c>
      <c r="U24" s="74">
        <f t="shared" si="1"/>
        <v>5.25</v>
      </c>
      <c r="V24" s="75"/>
      <c r="W24" s="73">
        <f>SUM('Nilai Tahriri'!AJ22,'Nilai Syafahi'!T24)</f>
        <v>249</v>
      </c>
      <c r="X24" s="73">
        <f>AVERAGE(D24:S24,'Nilai Tahriri'!D22:AI22)</f>
        <v>5.5333333333333332</v>
      </c>
      <c r="Y24" s="76">
        <f t="array" aca="1" ref="Y24" ca="1">SUM(IF(W24&lt;OFFSET($W$4,0,0,COUNT(W:W),1),1/COUNTIF(OFFSET($W$4,0,0,COUNT(W:W),1),OFFSET($W$4,0,0,COUNT(W:W),1))))+1</f>
        <v>25</v>
      </c>
      <c r="Z24" s="59" t="s">
        <v>281</v>
      </c>
    </row>
    <row r="25" spans="1:26" ht="15.5" x14ac:dyDescent="0.35">
      <c r="A25" s="8">
        <f>'Data Siswa'!A23</f>
        <v>22</v>
      </c>
      <c r="B25" s="104" t="str">
        <f>'Data Siswa'!B23</f>
        <v>NANDA HAMIDAH</v>
      </c>
      <c r="C25" s="8" t="str">
        <f>'Data Siswa'!C23</f>
        <v>1225</v>
      </c>
      <c r="D25" s="15">
        <v>5</v>
      </c>
      <c r="E25" s="15">
        <v>6</v>
      </c>
      <c r="F25" s="15">
        <v>6</v>
      </c>
      <c r="G25" s="15">
        <v>5.5</v>
      </c>
      <c r="H25" s="15">
        <v>5.5</v>
      </c>
      <c r="I25" s="15">
        <v>6</v>
      </c>
      <c r="J25" s="15">
        <v>5</v>
      </c>
      <c r="K25" s="15">
        <v>5</v>
      </c>
      <c r="L25" s="15">
        <v>5.5</v>
      </c>
      <c r="M25" s="15">
        <v>5.5</v>
      </c>
      <c r="N25" s="15">
        <v>6</v>
      </c>
      <c r="O25" s="15">
        <v>6.5</v>
      </c>
      <c r="P25" s="15">
        <v>6.5</v>
      </c>
      <c r="Q25" s="15">
        <v>5.5</v>
      </c>
      <c r="R25" s="15">
        <v>5.5</v>
      </c>
      <c r="S25" s="15">
        <v>5.5</v>
      </c>
      <c r="T25" s="73">
        <f t="shared" si="0"/>
        <v>90.5</v>
      </c>
      <c r="U25" s="74">
        <f t="shared" si="1"/>
        <v>5.65625</v>
      </c>
      <c r="V25" s="75"/>
      <c r="W25" s="73">
        <f>SUM('Nilai Tahriri'!AJ23,'Nilai Syafahi'!T25)</f>
        <v>261</v>
      </c>
      <c r="X25" s="73">
        <f>AVERAGE(D25:S25,'Nilai Tahriri'!D23:AI23)</f>
        <v>5.8</v>
      </c>
      <c r="Y25" s="76">
        <f t="array" aca="1" ref="Y25" ca="1">SUM(IF(W25&lt;OFFSET($W$4,0,0,COUNT(W:W),1),1/COUNTIF(OFFSET($W$4,0,0,COUNT(W:W),1),OFFSET($W$4,0,0,COUNT(W:W),1))))+1</f>
        <v>21</v>
      </c>
      <c r="Z25" s="59" t="s">
        <v>281</v>
      </c>
    </row>
    <row r="26" spans="1:26" ht="15.5" x14ac:dyDescent="0.35">
      <c r="A26" s="8">
        <f>'Data Siswa'!A24</f>
        <v>23</v>
      </c>
      <c r="B26" s="104" t="str">
        <f>'Data Siswa'!B24</f>
        <v>NOVA AULIA RITONGA</v>
      </c>
      <c r="C26" s="8" t="str">
        <f>'Data Siswa'!C24</f>
        <v>1226</v>
      </c>
      <c r="D26" s="15">
        <v>5</v>
      </c>
      <c r="E26" s="15">
        <v>6</v>
      </c>
      <c r="F26" s="15">
        <v>6</v>
      </c>
      <c r="G26" s="15">
        <v>5</v>
      </c>
      <c r="H26" s="15">
        <v>5.5</v>
      </c>
      <c r="I26" s="15">
        <v>6</v>
      </c>
      <c r="J26" s="15">
        <v>6</v>
      </c>
      <c r="K26" s="15">
        <v>6.5</v>
      </c>
      <c r="L26" s="15">
        <v>7</v>
      </c>
      <c r="M26" s="15">
        <v>5.5</v>
      </c>
      <c r="N26" s="15">
        <v>6</v>
      </c>
      <c r="O26" s="15">
        <v>5.5</v>
      </c>
      <c r="P26" s="15">
        <v>5.5</v>
      </c>
      <c r="Q26" s="15">
        <v>6</v>
      </c>
      <c r="R26" s="15">
        <v>5.5</v>
      </c>
      <c r="S26" s="15">
        <v>6.5</v>
      </c>
      <c r="T26" s="73">
        <f t="shared" si="0"/>
        <v>93.5</v>
      </c>
      <c r="U26" s="74">
        <f t="shared" si="1"/>
        <v>5.84375</v>
      </c>
      <c r="V26" s="75"/>
      <c r="W26" s="73">
        <f>SUM('Nilai Tahriri'!AJ24,'Nilai Syafahi'!T26)</f>
        <v>265</v>
      </c>
      <c r="X26" s="73">
        <f>AVERAGE(D26:S26,'Nilai Tahriri'!D24:AI24)</f>
        <v>5.8888888888888893</v>
      </c>
      <c r="Y26" s="76">
        <f t="array" aca="1" ref="Y26" ca="1">SUM(IF(W26&lt;OFFSET($W$4,0,0,COUNT(W:W),1),1/COUNTIF(OFFSET($W$4,0,0,COUNT(W:W),1),OFFSET($W$4,0,0,COUNT(W:W),1))))+1</f>
        <v>17</v>
      </c>
      <c r="Z26" s="59" t="s">
        <v>281</v>
      </c>
    </row>
    <row r="27" spans="1:26" ht="15.5" x14ac:dyDescent="0.35">
      <c r="A27" s="8">
        <f>'Data Siswa'!A25</f>
        <v>24</v>
      </c>
      <c r="B27" s="104" t="str">
        <f>'Data Siswa'!B25</f>
        <v>NUR AFNI OKTAFIYANTI</v>
      </c>
      <c r="C27" s="8" t="str">
        <f>'Data Siswa'!C25</f>
        <v>1227</v>
      </c>
      <c r="D27" s="15">
        <v>5</v>
      </c>
      <c r="E27" s="15">
        <v>6.5</v>
      </c>
      <c r="F27" s="15">
        <v>6</v>
      </c>
      <c r="G27" s="15">
        <v>5.5</v>
      </c>
      <c r="H27" s="15">
        <v>6</v>
      </c>
      <c r="I27" s="15">
        <v>6</v>
      </c>
      <c r="J27" s="15">
        <v>5</v>
      </c>
      <c r="K27" s="15">
        <v>5.5</v>
      </c>
      <c r="L27" s="15">
        <v>5</v>
      </c>
      <c r="M27" s="15">
        <v>5</v>
      </c>
      <c r="N27" s="15">
        <v>6</v>
      </c>
      <c r="O27" s="15">
        <v>6.5</v>
      </c>
      <c r="P27" s="15">
        <v>5.5</v>
      </c>
      <c r="Q27" s="15">
        <v>6</v>
      </c>
      <c r="R27" s="15">
        <v>5.5</v>
      </c>
      <c r="S27" s="15">
        <v>6</v>
      </c>
      <c r="T27" s="73">
        <f t="shared" si="0"/>
        <v>91</v>
      </c>
      <c r="U27" s="74">
        <f t="shared" si="1"/>
        <v>5.6875</v>
      </c>
      <c r="V27" s="75"/>
      <c r="W27" s="73">
        <f>SUM('Nilai Tahriri'!AJ25,'Nilai Syafahi'!T27)</f>
        <v>218.5</v>
      </c>
      <c r="X27" s="73">
        <f>AVERAGE(D27:S27,'Nilai Tahriri'!D25:AI25)</f>
        <v>5.9054054054054053</v>
      </c>
      <c r="Y27" s="76">
        <f t="array" aca="1" ref="Y27" ca="1">SUM(IF(W27&lt;OFFSET($W$4,0,0,COUNT(W:W),1),1/COUNTIF(OFFSET($W$4,0,0,COUNT(W:W),1),OFFSET($W$4,0,0,COUNT(W:W),1))))+1</f>
        <v>32</v>
      </c>
      <c r="Z27" s="59" t="s">
        <v>281</v>
      </c>
    </row>
    <row r="28" spans="1:26" ht="15.5" x14ac:dyDescent="0.35">
      <c r="A28" s="8">
        <f>'Data Siswa'!A26</f>
        <v>25</v>
      </c>
      <c r="B28" s="104" t="str">
        <f>'Data Siswa'!B26</f>
        <v>NURIYANTI</v>
      </c>
      <c r="C28" s="8" t="str">
        <f>'Data Siswa'!C26</f>
        <v>1228</v>
      </c>
      <c r="D28" s="15">
        <v>5</v>
      </c>
      <c r="E28" s="15">
        <v>6</v>
      </c>
      <c r="F28" s="15">
        <v>6</v>
      </c>
      <c r="G28" s="15">
        <v>5</v>
      </c>
      <c r="H28" s="15">
        <v>5</v>
      </c>
      <c r="I28" s="15">
        <v>5</v>
      </c>
      <c r="J28" s="15">
        <v>5.5</v>
      </c>
      <c r="K28" s="15">
        <v>5.5</v>
      </c>
      <c r="L28" s="15">
        <v>6</v>
      </c>
      <c r="M28" s="15">
        <v>6</v>
      </c>
      <c r="N28" s="15">
        <v>6</v>
      </c>
      <c r="O28" s="15">
        <v>6</v>
      </c>
      <c r="P28" s="15">
        <v>6</v>
      </c>
      <c r="Q28" s="15">
        <v>6</v>
      </c>
      <c r="R28" s="15">
        <v>6.5</v>
      </c>
      <c r="S28" s="15">
        <v>6.5</v>
      </c>
      <c r="T28" s="73">
        <f t="shared" si="0"/>
        <v>92</v>
      </c>
      <c r="U28" s="74">
        <f t="shared" si="1"/>
        <v>5.75</v>
      </c>
      <c r="V28" s="75"/>
      <c r="W28" s="73">
        <f>SUM('Nilai Tahriri'!AJ26,'Nilai Syafahi'!T28)</f>
        <v>269.5</v>
      </c>
      <c r="X28" s="73">
        <f>AVERAGE(D28:S28,'Nilai Tahriri'!D26:AI26)</f>
        <v>5.9888888888888889</v>
      </c>
      <c r="Y28" s="76">
        <f t="array" aca="1" ref="Y28" ca="1">SUM(IF(W28&lt;OFFSET($W$4,0,0,COUNT(W:W),1),1/COUNTIF(OFFSET($W$4,0,0,COUNT(W:W),1),OFFSET($W$4,0,0,COUNT(W:W),1))))+1</f>
        <v>14</v>
      </c>
      <c r="Z28" s="59" t="s">
        <v>281</v>
      </c>
    </row>
    <row r="29" spans="1:26" ht="15.5" x14ac:dyDescent="0.35">
      <c r="A29" s="8">
        <f>'Data Siswa'!A27</f>
        <v>26</v>
      </c>
      <c r="B29" s="104" t="str">
        <f>'Data Siswa'!B27</f>
        <v>RAMINAH</v>
      </c>
      <c r="C29" s="8" t="str">
        <f>'Data Siswa'!C27</f>
        <v>1229</v>
      </c>
      <c r="D29" s="15">
        <v>4.5</v>
      </c>
      <c r="E29" s="15">
        <v>5.5</v>
      </c>
      <c r="F29" s="15">
        <v>6</v>
      </c>
      <c r="G29" s="15">
        <v>5</v>
      </c>
      <c r="H29" s="15">
        <v>5</v>
      </c>
      <c r="I29" s="15">
        <v>5.5</v>
      </c>
      <c r="J29" s="15">
        <v>5.5</v>
      </c>
      <c r="K29" s="15">
        <v>5</v>
      </c>
      <c r="L29" s="15">
        <v>5</v>
      </c>
      <c r="M29" s="15">
        <v>5</v>
      </c>
      <c r="N29" s="15">
        <v>5.5</v>
      </c>
      <c r="O29" s="15">
        <v>5</v>
      </c>
      <c r="P29" s="15">
        <v>4.5</v>
      </c>
      <c r="Q29" s="15">
        <v>5.5</v>
      </c>
      <c r="R29" s="15">
        <v>4.5</v>
      </c>
      <c r="S29" s="15">
        <v>5</v>
      </c>
      <c r="T29" s="73">
        <f t="shared" si="0"/>
        <v>82</v>
      </c>
      <c r="U29" s="74">
        <f t="shared" si="1"/>
        <v>5.125</v>
      </c>
      <c r="V29" s="75"/>
      <c r="W29" s="73">
        <f>SUM('Nilai Tahriri'!AJ27,'Nilai Syafahi'!T29)</f>
        <v>247.5</v>
      </c>
      <c r="X29" s="73">
        <f>AVERAGE(D29:S29,'Nilai Tahriri'!D27:AI27)</f>
        <v>5.5</v>
      </c>
      <c r="Y29" s="76">
        <f t="array" aca="1" ref="Y29" ca="1">SUM(IF(W29&lt;OFFSET($W$4,0,0,COUNT(W:W),1),1/COUNTIF(OFFSET($W$4,0,0,COUNT(W:W),1),OFFSET($W$4,0,0,COUNT(W:W),1))))+1</f>
        <v>26</v>
      </c>
      <c r="Z29" s="59" t="s">
        <v>281</v>
      </c>
    </row>
    <row r="30" spans="1:26" ht="15.5" x14ac:dyDescent="0.35">
      <c r="A30" s="8">
        <f>'Data Siswa'!A28</f>
        <v>27</v>
      </c>
      <c r="B30" s="104" t="str">
        <f>'Data Siswa'!B28</f>
        <v>RAYNA NURUL AUDINA</v>
      </c>
      <c r="C30" s="8" t="str">
        <f>'Data Siswa'!C28</f>
        <v>1230</v>
      </c>
      <c r="D30" s="15">
        <v>5</v>
      </c>
      <c r="E30" s="15">
        <v>6</v>
      </c>
      <c r="F30" s="15">
        <v>6</v>
      </c>
      <c r="G30" s="15">
        <v>5.5</v>
      </c>
      <c r="H30" s="15">
        <v>5</v>
      </c>
      <c r="I30" s="15">
        <v>6</v>
      </c>
      <c r="J30" s="15">
        <v>6</v>
      </c>
      <c r="K30" s="15">
        <v>5.5</v>
      </c>
      <c r="L30" s="15">
        <v>6</v>
      </c>
      <c r="M30" s="15">
        <v>6</v>
      </c>
      <c r="N30" s="15">
        <v>6</v>
      </c>
      <c r="O30" s="15">
        <v>6.5</v>
      </c>
      <c r="P30" s="15">
        <v>5.5</v>
      </c>
      <c r="Q30" s="15">
        <v>6</v>
      </c>
      <c r="R30" s="15">
        <v>5.5</v>
      </c>
      <c r="S30" s="15">
        <v>6</v>
      </c>
      <c r="T30" s="73">
        <f t="shared" si="0"/>
        <v>92.5</v>
      </c>
      <c r="U30" s="74">
        <f t="shared" si="1"/>
        <v>5.78125</v>
      </c>
      <c r="V30" s="75"/>
      <c r="W30" s="73">
        <f>SUM('Nilai Tahriri'!AJ28,'Nilai Syafahi'!T30)</f>
        <v>231</v>
      </c>
      <c r="X30" s="73">
        <f>AVERAGE(D30:S30,'Nilai Tahriri'!D28:AI28)</f>
        <v>6.0789473684210522</v>
      </c>
      <c r="Y30" s="76">
        <f t="array" aca="1" ref="Y30" ca="1">SUM(IF(W30&lt;OFFSET($W$4,0,0,COUNT(W:W),1),1/COUNTIF(OFFSET($W$4,0,0,COUNT(W:W),1),OFFSET($W$4,0,0,COUNT(W:W),1))))+1</f>
        <v>30</v>
      </c>
      <c r="Z30" s="59" t="s">
        <v>281</v>
      </c>
    </row>
    <row r="31" spans="1:26" ht="15.5" x14ac:dyDescent="0.35">
      <c r="A31" s="8">
        <f>'Data Siswa'!A29</f>
        <v>28</v>
      </c>
      <c r="B31" s="104" t="str">
        <f>'Data Siswa'!B29</f>
        <v>REIFA AULIA NURFAUZA</v>
      </c>
      <c r="C31" s="8" t="str">
        <f>'Data Siswa'!C29</f>
        <v>1231</v>
      </c>
      <c r="D31" s="15">
        <v>5.5</v>
      </c>
      <c r="E31" s="15">
        <v>6</v>
      </c>
      <c r="F31" s="15">
        <v>5.5</v>
      </c>
      <c r="G31" s="15">
        <v>5</v>
      </c>
      <c r="H31" s="15">
        <v>6</v>
      </c>
      <c r="I31" s="15">
        <v>6</v>
      </c>
      <c r="J31" s="15">
        <v>6</v>
      </c>
      <c r="K31" s="15">
        <v>5.5</v>
      </c>
      <c r="L31" s="15">
        <v>5</v>
      </c>
      <c r="M31" s="15">
        <v>6</v>
      </c>
      <c r="N31" s="15">
        <v>6</v>
      </c>
      <c r="O31" s="15">
        <v>6</v>
      </c>
      <c r="P31" s="15">
        <v>6</v>
      </c>
      <c r="Q31" s="15">
        <v>6</v>
      </c>
      <c r="R31" s="15">
        <v>5.5</v>
      </c>
      <c r="S31" s="15">
        <v>5.5</v>
      </c>
      <c r="T31" s="73">
        <f t="shared" si="0"/>
        <v>91.5</v>
      </c>
      <c r="U31" s="74">
        <f t="shared" si="1"/>
        <v>5.71875</v>
      </c>
      <c r="V31" s="75"/>
      <c r="W31" s="73">
        <f>SUM('Nilai Tahriri'!AJ29,'Nilai Syafahi'!T31)</f>
        <v>272.5</v>
      </c>
      <c r="X31" s="73">
        <f>AVERAGE(D31:S31,'Nilai Tahriri'!D29:AI29)</f>
        <v>6.0555555555555554</v>
      </c>
      <c r="Y31" s="76">
        <f t="array" aca="1" ref="Y31" ca="1">SUM(IF(W31&lt;OFFSET($W$4,0,0,COUNT(W:W),1),1/COUNTIF(OFFSET($W$4,0,0,COUNT(W:W),1),OFFSET($W$4,0,0,COUNT(W:W),1))))+1</f>
        <v>11</v>
      </c>
      <c r="Z31" s="59" t="s">
        <v>281</v>
      </c>
    </row>
    <row r="32" spans="1:26" ht="15.5" x14ac:dyDescent="0.35">
      <c r="A32" s="8">
        <f>'Data Siswa'!A30</f>
        <v>29</v>
      </c>
      <c r="B32" s="104" t="str">
        <f>'Data Siswa'!B30</f>
        <v>SALIS FIJRIYANI</v>
      </c>
      <c r="C32" s="8" t="str">
        <f>'Data Siswa'!C30</f>
        <v>1232</v>
      </c>
      <c r="D32" s="15">
        <v>5.5</v>
      </c>
      <c r="E32" s="15">
        <v>6.5</v>
      </c>
      <c r="F32" s="15">
        <v>6</v>
      </c>
      <c r="G32" s="15">
        <v>5</v>
      </c>
      <c r="H32" s="15">
        <v>6</v>
      </c>
      <c r="I32" s="15">
        <v>6</v>
      </c>
      <c r="J32" s="15">
        <v>6.5</v>
      </c>
      <c r="K32" s="15">
        <v>6</v>
      </c>
      <c r="L32" s="15">
        <v>6</v>
      </c>
      <c r="M32" s="15">
        <v>6</v>
      </c>
      <c r="N32" s="15">
        <v>6</v>
      </c>
      <c r="O32" s="15">
        <v>6.5</v>
      </c>
      <c r="P32" s="15">
        <v>6</v>
      </c>
      <c r="Q32" s="15">
        <v>6</v>
      </c>
      <c r="R32" s="15">
        <v>5.5</v>
      </c>
      <c r="S32" s="15">
        <v>6.5</v>
      </c>
      <c r="T32" s="73">
        <f t="shared" si="0"/>
        <v>96</v>
      </c>
      <c r="U32" s="74">
        <f t="shared" si="1"/>
        <v>6</v>
      </c>
      <c r="V32" s="75"/>
      <c r="W32" s="73">
        <f>SUM('Nilai Tahriri'!AJ30,'Nilai Syafahi'!T32)</f>
        <v>294</v>
      </c>
      <c r="X32" s="73">
        <f>AVERAGE(D32:S32,'Nilai Tahriri'!D30:AI30)</f>
        <v>6.5333333333333332</v>
      </c>
      <c r="Y32" s="76">
        <f t="array" aca="1" ref="Y32" ca="1">SUM(IF(W32&lt;OFFSET($W$4,0,0,COUNT(W:W),1),1/COUNTIF(OFFSET($W$4,0,0,COUNT(W:W),1),OFFSET($W$4,0,0,COUNT(W:W),1))))+1</f>
        <v>4</v>
      </c>
      <c r="Z32" s="59" t="s">
        <v>281</v>
      </c>
    </row>
    <row r="33" spans="1:26" ht="15.5" x14ac:dyDescent="0.35">
      <c r="A33" s="8">
        <f>'Data Siswa'!A31</f>
        <v>30</v>
      </c>
      <c r="B33" s="104" t="str">
        <f>'Data Siswa'!B31</f>
        <v>SITI ADLAH</v>
      </c>
      <c r="C33" s="8" t="str">
        <f>'Data Siswa'!C31</f>
        <v>1233</v>
      </c>
      <c r="D33" s="15">
        <v>5.5</v>
      </c>
      <c r="E33" s="15">
        <v>6</v>
      </c>
      <c r="F33" s="15">
        <v>6</v>
      </c>
      <c r="G33" s="15">
        <v>5</v>
      </c>
      <c r="H33" s="15">
        <v>6</v>
      </c>
      <c r="I33" s="15">
        <v>6</v>
      </c>
      <c r="J33" s="15">
        <v>6.5</v>
      </c>
      <c r="K33" s="15">
        <v>5.5</v>
      </c>
      <c r="L33" s="15">
        <v>6</v>
      </c>
      <c r="M33" s="15">
        <v>6</v>
      </c>
      <c r="N33" s="15">
        <v>6</v>
      </c>
      <c r="O33" s="15">
        <v>6.5</v>
      </c>
      <c r="P33" s="15">
        <v>6</v>
      </c>
      <c r="Q33" s="15">
        <v>6</v>
      </c>
      <c r="R33" s="15">
        <v>5.5</v>
      </c>
      <c r="S33" s="15">
        <v>7</v>
      </c>
      <c r="T33" s="73">
        <f t="shared" si="0"/>
        <v>95.5</v>
      </c>
      <c r="U33" s="74">
        <f t="shared" si="1"/>
        <v>5.96875</v>
      </c>
      <c r="V33" s="75"/>
      <c r="W33" s="73">
        <f>SUM('Nilai Tahriri'!AJ31,'Nilai Syafahi'!T33)</f>
        <v>285.5</v>
      </c>
      <c r="X33" s="73">
        <f>AVERAGE(D33:S33,'Nilai Tahriri'!D31:AI31)</f>
        <v>6.3444444444444441</v>
      </c>
      <c r="Y33" s="76">
        <f t="array" aca="1" ref="Y33" ca="1">SUM(IF(W33&lt;OFFSET($W$4,0,0,COUNT(W:W),1),1/COUNTIF(OFFSET($W$4,0,0,COUNT(W:W),1),OFFSET($W$4,0,0,COUNT(W:W),1))))+1</f>
        <v>6</v>
      </c>
      <c r="Z33" s="59" t="s">
        <v>281</v>
      </c>
    </row>
    <row r="34" spans="1:26" ht="15.5" x14ac:dyDescent="0.35">
      <c r="A34" s="8">
        <f>'Data Siswa'!A32</f>
        <v>31</v>
      </c>
      <c r="B34" s="104" t="str">
        <f>'Data Siswa'!B32</f>
        <v>SITI NURHALISAH</v>
      </c>
      <c r="C34" s="8" t="str">
        <f>'Data Siswa'!C32</f>
        <v>1234</v>
      </c>
      <c r="D34" s="15">
        <v>6</v>
      </c>
      <c r="E34" s="15">
        <v>6</v>
      </c>
      <c r="F34" s="15">
        <v>6</v>
      </c>
      <c r="G34" s="15">
        <v>5.5</v>
      </c>
      <c r="H34" s="15">
        <v>6</v>
      </c>
      <c r="I34" s="15">
        <v>6</v>
      </c>
      <c r="J34" s="15">
        <v>5.5</v>
      </c>
      <c r="K34" s="15">
        <v>6</v>
      </c>
      <c r="L34" s="15">
        <v>6</v>
      </c>
      <c r="M34" s="15">
        <v>5.5</v>
      </c>
      <c r="N34" s="15">
        <v>6</v>
      </c>
      <c r="O34" s="15">
        <v>7</v>
      </c>
      <c r="P34" s="15">
        <v>6</v>
      </c>
      <c r="Q34" s="15">
        <v>6</v>
      </c>
      <c r="R34" s="15">
        <v>6</v>
      </c>
      <c r="S34" s="15">
        <v>6</v>
      </c>
      <c r="T34" s="73">
        <f t="shared" si="0"/>
        <v>95.5</v>
      </c>
      <c r="U34" s="74">
        <f t="shared" si="1"/>
        <v>5.96875</v>
      </c>
      <c r="V34" s="75"/>
      <c r="W34" s="73">
        <f>SUM('Nilai Tahriri'!AJ32,'Nilai Syafahi'!T34)</f>
        <v>266</v>
      </c>
      <c r="X34" s="73">
        <f>AVERAGE(D34:S34,'Nilai Tahriri'!D32:AI32)</f>
        <v>5.9111111111111114</v>
      </c>
      <c r="Y34" s="76">
        <f t="array" aca="1" ref="Y34" ca="1">SUM(IF(W34&lt;OFFSET($W$4,0,0,COUNT(W:W),1),1/COUNTIF(OFFSET($W$4,0,0,COUNT(W:W),1),OFFSET($W$4,0,0,COUNT(W:W),1))))+1</f>
        <v>16</v>
      </c>
      <c r="Z34" s="59" t="s">
        <v>281</v>
      </c>
    </row>
    <row r="35" spans="1:26" ht="15.5" x14ac:dyDescent="0.35">
      <c r="A35" s="8">
        <f>'Data Siswa'!A33</f>
        <v>32</v>
      </c>
      <c r="B35" s="104" t="str">
        <f>'Data Siswa'!B33</f>
        <v>TIA FATHATUL MUTHOHAROH</v>
      </c>
      <c r="C35" s="8" t="str">
        <f>'Data Siswa'!C33</f>
        <v>1235</v>
      </c>
      <c r="D35" s="15">
        <v>6</v>
      </c>
      <c r="E35" s="15">
        <v>6.5</v>
      </c>
      <c r="F35" s="15">
        <v>6</v>
      </c>
      <c r="G35" s="15">
        <v>6</v>
      </c>
      <c r="H35" s="15">
        <v>6</v>
      </c>
      <c r="I35" s="15">
        <v>6</v>
      </c>
      <c r="J35" s="15">
        <v>5.5</v>
      </c>
      <c r="K35" s="15">
        <v>6</v>
      </c>
      <c r="L35" s="15">
        <v>6</v>
      </c>
      <c r="M35" s="15">
        <v>5.5</v>
      </c>
      <c r="N35" s="15">
        <v>6</v>
      </c>
      <c r="O35" s="15">
        <v>5.5</v>
      </c>
      <c r="P35" s="15">
        <v>6</v>
      </c>
      <c r="Q35" s="15">
        <v>6</v>
      </c>
      <c r="R35" s="15">
        <v>6</v>
      </c>
      <c r="S35" s="15">
        <v>6.5</v>
      </c>
      <c r="T35" s="73">
        <f t="shared" si="0"/>
        <v>95.5</v>
      </c>
      <c r="U35" s="74">
        <f t="shared" si="1"/>
        <v>5.96875</v>
      </c>
      <c r="V35" s="75"/>
      <c r="W35" s="73">
        <f>SUM('Nilai Tahriri'!AJ33,'Nilai Syafahi'!T35)</f>
        <v>295</v>
      </c>
      <c r="X35" s="73">
        <f>AVERAGE(D35:S35,'Nilai Tahriri'!D33:AI33)</f>
        <v>6.5555555555555554</v>
      </c>
      <c r="Y35" s="76">
        <f t="array" aca="1" ref="Y35" ca="1">SUM(IF(W35&lt;OFFSET($W$4,0,0,COUNT(W:W),1),1/COUNTIF(OFFSET($W$4,0,0,COUNT(W:W),1),OFFSET($W$4,0,0,COUNT(W:W),1))))+1</f>
        <v>3</v>
      </c>
      <c r="Z35" s="59" t="s">
        <v>281</v>
      </c>
    </row>
    <row r="36" spans="1:26" ht="15.5" x14ac:dyDescent="0.35">
      <c r="A36" s="8">
        <f>'Data Siswa'!A34</f>
        <v>33</v>
      </c>
      <c r="B36" s="104" t="str">
        <f>'Data Siswa'!B34</f>
        <v>VHISCA FAMELA ERICA</v>
      </c>
      <c r="C36" s="8" t="str">
        <f>'Data Siswa'!C34</f>
        <v>1236</v>
      </c>
      <c r="D36" s="15">
        <v>5.5</v>
      </c>
      <c r="E36" s="15">
        <v>6</v>
      </c>
      <c r="F36" s="15">
        <v>6</v>
      </c>
      <c r="G36" s="15">
        <v>5</v>
      </c>
      <c r="H36" s="15">
        <v>6</v>
      </c>
      <c r="I36" s="15">
        <v>6</v>
      </c>
      <c r="J36" s="15">
        <v>5.5</v>
      </c>
      <c r="K36" s="15">
        <v>6</v>
      </c>
      <c r="L36" s="15">
        <v>5</v>
      </c>
      <c r="M36" s="15">
        <v>5.5</v>
      </c>
      <c r="N36" s="15">
        <v>6</v>
      </c>
      <c r="O36" s="15">
        <v>6</v>
      </c>
      <c r="P36" s="15">
        <v>6</v>
      </c>
      <c r="Q36" s="15">
        <v>6</v>
      </c>
      <c r="R36" s="15">
        <v>6</v>
      </c>
      <c r="S36" s="15">
        <v>5.5</v>
      </c>
      <c r="T36" s="73">
        <f t="shared" si="0"/>
        <v>92</v>
      </c>
      <c r="U36" s="74">
        <f t="shared" si="1"/>
        <v>5.75</v>
      </c>
      <c r="V36" s="75"/>
      <c r="W36" s="73">
        <f>SUM('Nilai Tahriri'!AJ34,'Nilai Syafahi'!T36)</f>
        <v>262</v>
      </c>
      <c r="X36" s="73">
        <f>AVERAGE(D36:S36,'Nilai Tahriri'!D34:AI34)</f>
        <v>5.822222222222222</v>
      </c>
      <c r="Y36" s="76">
        <f t="array" aca="1" ref="Y36" ca="1">SUM(IF(W36&lt;OFFSET($W$4,0,0,COUNT(W:W),1),1/COUNTIF(OFFSET($W$4,0,0,COUNT(W:W),1),OFFSET($W$4,0,0,COUNT(W:W),1))))+1</f>
        <v>20</v>
      </c>
      <c r="Z36" s="59" t="s">
        <v>281</v>
      </c>
    </row>
    <row r="37" spans="1:26" ht="15.5" x14ac:dyDescent="0.35">
      <c r="A37" s="8">
        <f>'Data Siswa'!A35</f>
        <v>34</v>
      </c>
      <c r="B37" s="104" t="str">
        <f>'Data Siswa'!B35</f>
        <v>ZAHROTUL AWWALIYAH</v>
      </c>
      <c r="C37" s="8" t="str">
        <f>'Data Siswa'!C35</f>
        <v>1237</v>
      </c>
      <c r="D37" s="15">
        <v>5.5</v>
      </c>
      <c r="E37" s="15">
        <v>5.5</v>
      </c>
      <c r="F37" s="15">
        <v>5.5</v>
      </c>
      <c r="G37" s="15">
        <v>5.5</v>
      </c>
      <c r="H37" s="15">
        <v>5.5</v>
      </c>
      <c r="I37" s="15">
        <v>6</v>
      </c>
      <c r="J37" s="15">
        <v>5.5</v>
      </c>
      <c r="K37" s="15">
        <v>6</v>
      </c>
      <c r="L37" s="15">
        <v>6</v>
      </c>
      <c r="M37" s="15">
        <v>5.5</v>
      </c>
      <c r="N37" s="15">
        <v>5.5</v>
      </c>
      <c r="O37" s="15">
        <v>6</v>
      </c>
      <c r="P37" s="15">
        <v>6</v>
      </c>
      <c r="Q37" s="15">
        <v>6</v>
      </c>
      <c r="R37" s="15">
        <v>5.5</v>
      </c>
      <c r="S37" s="15">
        <v>5.5</v>
      </c>
      <c r="T37" s="73">
        <f t="shared" si="0"/>
        <v>91</v>
      </c>
      <c r="U37" s="74">
        <f t="shared" si="1"/>
        <v>5.6875</v>
      </c>
      <c r="V37" s="75"/>
      <c r="W37" s="73">
        <f>SUM('Nilai Tahriri'!AJ35,'Nilai Syafahi'!T37)</f>
        <v>245.5</v>
      </c>
      <c r="X37" s="73">
        <f>AVERAGE(D37:S37,'Nilai Tahriri'!D35:AI35)</f>
        <v>5.8452380952380949</v>
      </c>
      <c r="Y37" s="76">
        <f t="array" aca="1" ref="Y37" ca="1">SUM(IF(W37&lt;OFFSET($W$4,0,0,COUNT(W:W),1),1/COUNTIF(OFFSET($W$4,0,0,COUNT(W:W),1),OFFSET($W$4,0,0,COUNT(W:W),1))))+1</f>
        <v>27</v>
      </c>
      <c r="Z37" s="59" t="s">
        <v>281</v>
      </c>
    </row>
    <row r="38" spans="1:26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3">
        <f t="shared" si="0"/>
        <v>0</v>
      </c>
      <c r="U38" s="74" t="e">
        <f t="shared" si="1"/>
        <v>#DIV/0!</v>
      </c>
      <c r="V38" s="75"/>
      <c r="W38" s="73">
        <f>SUM('Nilai Tahriri'!AJ36,'Nilai Syafahi'!T38)</f>
        <v>0</v>
      </c>
      <c r="X38" s="73" t="e">
        <f>AVERAGE(D38:S38,'Nilai Tahriri'!D36:AI36)</f>
        <v>#DIV/0!</v>
      </c>
      <c r="Y38" s="76">
        <f t="array" aca="1" ref="Y38" ca="1">SUM(IF(W38&lt;OFFSET($W$4,0,0,COUNT(W:W),1),1/COUNTIF(OFFSET($W$4,0,0,COUNT(W:W),1),OFFSET($W$4,0,0,COUNT(W:W),1))))+1</f>
        <v>33</v>
      </c>
      <c r="Z38" s="59" t="s">
        <v>281</v>
      </c>
    </row>
    <row r="39" spans="1:26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3">
        <f t="shared" si="0"/>
        <v>0</v>
      </c>
      <c r="U39" s="74" t="e">
        <f t="shared" si="1"/>
        <v>#DIV/0!</v>
      </c>
      <c r="V39" s="75"/>
      <c r="W39" s="73">
        <f>SUM('Nilai Tahriri'!AJ37,'Nilai Syafahi'!T39)</f>
        <v>0</v>
      </c>
      <c r="X39" s="73" t="e">
        <f>AVERAGE(D39:S39,'Nilai Tahriri'!D37:AI37)</f>
        <v>#DIV/0!</v>
      </c>
      <c r="Y39" s="76">
        <f t="array" aca="1" ref="Y39" ca="1">SUM(IF(W39&lt;OFFSET($W$4,0,0,COUNT(W:W),1),1/COUNTIF(OFFSET($W$4,0,0,COUNT(W:W),1),OFFSET($W$4,0,0,COUNT(W:W),1))))+1</f>
        <v>33</v>
      </c>
      <c r="Z39" s="59" t="s">
        <v>281</v>
      </c>
    </row>
    <row r="40" spans="1:26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3">
        <f t="shared" si="0"/>
        <v>0</v>
      </c>
      <c r="U40" s="74" t="e">
        <f t="shared" si="1"/>
        <v>#DIV/0!</v>
      </c>
      <c r="V40" s="75"/>
      <c r="W40" s="73">
        <f>SUM('Nilai Tahriri'!AJ38,'Nilai Syafahi'!T40)</f>
        <v>0</v>
      </c>
      <c r="X40" s="73" t="e">
        <f>AVERAGE(D40:S40,'Nilai Tahriri'!D38:AI38)</f>
        <v>#DIV/0!</v>
      </c>
      <c r="Y40" s="76">
        <f t="array" aca="1" ref="Y40" ca="1">SUM(IF(W40&lt;OFFSET($W$4,0,0,COUNT(W:W),1),1/COUNTIF(OFFSET($W$4,0,0,COUNT(W:W),1),OFFSET($W$4,0,0,COUNT(W:W),1))))+1</f>
        <v>33</v>
      </c>
      <c r="Z40" s="59" t="s">
        <v>281</v>
      </c>
    </row>
    <row r="41" spans="1:26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3">
        <f t="shared" si="0"/>
        <v>0</v>
      </c>
      <c r="U41" s="74" t="e">
        <f t="shared" si="1"/>
        <v>#DIV/0!</v>
      </c>
      <c r="V41" s="75"/>
      <c r="W41" s="73">
        <f>SUM('Nilai Tahriri'!AJ39,'Nilai Syafahi'!T41)</f>
        <v>0</v>
      </c>
      <c r="X41" s="73" t="e">
        <f>AVERAGE(D41:S41,'Nilai Tahriri'!D39:AI39)</f>
        <v>#DIV/0!</v>
      </c>
      <c r="Y41" s="76">
        <f t="array" aca="1" ref="Y41" ca="1">SUM(IF(W41&lt;OFFSET($W$4,0,0,COUNT(W:W),1),1/COUNTIF(OFFSET($W$4,0,0,COUNT(W:W),1),OFFSET($W$4,0,0,COUNT(W:W),1))))+1</f>
        <v>33</v>
      </c>
      <c r="Z41" s="59" t="s">
        <v>281</v>
      </c>
    </row>
    <row r="42" spans="1:26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3">
        <f t="shared" si="0"/>
        <v>0</v>
      </c>
      <c r="U42" s="74" t="e">
        <f t="shared" si="1"/>
        <v>#DIV/0!</v>
      </c>
      <c r="V42" s="75"/>
      <c r="W42" s="73">
        <f>SUM('Nilai Tahriri'!AJ40,'Nilai Syafahi'!T42)</f>
        <v>0</v>
      </c>
      <c r="X42" s="73" t="e">
        <f>AVERAGE(D42:S42,'Nilai Tahriri'!D40:AI40)</f>
        <v>#DIV/0!</v>
      </c>
      <c r="Y42" s="76">
        <f t="array" aca="1" ref="Y42" ca="1">SUM(IF(W42&lt;OFFSET($W$4,0,0,COUNT(W:W),1),1/COUNTIF(OFFSET($W$4,0,0,COUNT(W:W),1),OFFSET($W$4,0,0,COUNT(W:W),1))))+1</f>
        <v>33</v>
      </c>
      <c r="Z42" s="59" t="s">
        <v>281</v>
      </c>
    </row>
    <row r="43" spans="1:26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3">
        <f t="shared" si="0"/>
        <v>0</v>
      </c>
      <c r="U43" s="74" t="e">
        <f t="shared" si="1"/>
        <v>#DIV/0!</v>
      </c>
      <c r="V43" s="77"/>
      <c r="W43" s="73">
        <f>SUM('Nilai Tahriri'!AJ41,'Nilai Syafahi'!T43)</f>
        <v>0</v>
      </c>
      <c r="X43" s="73" t="e">
        <f>AVERAGE(D43:S43,'Nilai Tahriri'!D41:AI41)</f>
        <v>#DIV/0!</v>
      </c>
      <c r="Y43" s="76">
        <f t="array" aca="1" ref="Y43" ca="1">SUM(IF(W43&lt;OFFSET($W$4,0,0,COUNT(W:W),1),1/COUNTIF(OFFSET($W$4,0,0,COUNT(W:W),1),OFFSET($W$4,0,0,COUNT(W:W),1))))+1</f>
        <v>33</v>
      </c>
      <c r="Z43" s="59" t="s">
        <v>281</v>
      </c>
    </row>
    <row r="44" spans="1:26" x14ac:dyDescent="0.35">
      <c r="U44"/>
      <c r="Z44"/>
    </row>
  </sheetData>
  <sheetProtection algorithmName="SHA-512" hashValue="jD/AsVcS66chjVk4VQHJPGjX0Q3kXaahZOqyJX4/yF/PPCsjPisjAc0y1vtl9l5I75rI5GDQUO06E9MItBn/vQ==" saltValue="Ueu1f1QvPY+xljibBAkmZw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3C3DB00E-EDA3-4F23-A3B0-43FF1DD198A9}"/>
  </dataValidations>
  <pageMargins left="0.7" right="0.7" top="0.75" bottom="0.75" header="0.3" footer="0.3"/>
  <pageSetup paperSize="5" scale="8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I2" workbookViewId="0">
      <selection activeCell="I38" sqref="I3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2" t="s">
        <v>176</v>
      </c>
      <c r="B1" s="152"/>
      <c r="C1" s="152"/>
      <c r="D1" s="150" t="s">
        <v>91</v>
      </c>
      <c r="E1" s="150"/>
      <c r="F1" s="150"/>
      <c r="G1" s="150"/>
      <c r="H1" s="150"/>
      <c r="I1" s="150"/>
      <c r="J1" s="99"/>
    </row>
    <row r="2" spans="1:10" ht="14.5" customHeight="1" x14ac:dyDescent="0.35">
      <c r="A2" s="140" t="s">
        <v>76</v>
      </c>
      <c r="B2" s="138" t="s">
        <v>55</v>
      </c>
      <c r="C2" s="140" t="s">
        <v>54</v>
      </c>
      <c r="D2" s="151" t="s">
        <v>31</v>
      </c>
      <c r="E2" s="151"/>
      <c r="F2" s="151"/>
      <c r="G2" s="149" t="s">
        <v>84</v>
      </c>
      <c r="H2" s="149"/>
      <c r="I2" s="149"/>
      <c r="J2" s="25" t="s">
        <v>178</v>
      </c>
    </row>
    <row r="3" spans="1:10" ht="53.15" customHeight="1" x14ac:dyDescent="0.35">
      <c r="A3" s="140"/>
      <c r="B3" s="138"/>
      <c r="C3" s="140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6" t="s">
        <v>45</v>
      </c>
    </row>
    <row r="4" spans="1:10" ht="15.5" x14ac:dyDescent="0.35">
      <c r="A4" s="8">
        <f>'Data Siswa'!A2</f>
        <v>1</v>
      </c>
      <c r="B4" s="104" t="str">
        <f>'Data Siswa'!B2</f>
        <v>AISYAH DZAKIYYAH</v>
      </c>
      <c r="C4" s="8" t="str">
        <f>'Data Siswa'!C2</f>
        <v>1204</v>
      </c>
      <c r="D4" s="19">
        <v>8</v>
      </c>
      <c r="E4" s="19">
        <v>8</v>
      </c>
      <c r="F4" s="19">
        <v>8</v>
      </c>
      <c r="G4" s="19" t="s">
        <v>281</v>
      </c>
      <c r="H4" s="19">
        <v>2</v>
      </c>
      <c r="I4" s="19" t="s">
        <v>281</v>
      </c>
      <c r="J4" s="100"/>
    </row>
    <row r="5" spans="1:10" ht="15.5" x14ac:dyDescent="0.35">
      <c r="A5" s="8">
        <f>'Data Siswa'!A3</f>
        <v>2</v>
      </c>
      <c r="B5" s="105" t="str">
        <f>'Data Siswa'!B3</f>
        <v>ALINTRI SIFFA MULYANA</v>
      </c>
      <c r="C5" s="8" t="str">
        <f>'Data Siswa'!C3</f>
        <v>1205</v>
      </c>
      <c r="D5" s="19">
        <v>8</v>
      </c>
      <c r="E5" s="19">
        <v>8</v>
      </c>
      <c r="F5" s="19">
        <v>8</v>
      </c>
      <c r="G5" s="19">
        <v>1</v>
      </c>
      <c r="H5" s="19">
        <v>1</v>
      </c>
      <c r="I5" s="19" t="s">
        <v>281</v>
      </c>
      <c r="J5" s="100"/>
    </row>
    <row r="6" spans="1:10" ht="15.5" x14ac:dyDescent="0.35">
      <c r="A6" s="8">
        <f>'Data Siswa'!A4</f>
        <v>3</v>
      </c>
      <c r="B6" s="104" t="str">
        <f>'Data Siswa'!B4</f>
        <v>ANDINI DAHLIANI</v>
      </c>
      <c r="C6" s="8" t="str">
        <f>'Data Siswa'!C4</f>
        <v>1206</v>
      </c>
      <c r="D6" s="19">
        <v>8</v>
      </c>
      <c r="E6" s="19">
        <v>8</v>
      </c>
      <c r="F6" s="19">
        <v>8</v>
      </c>
      <c r="G6" s="19" t="s">
        <v>281</v>
      </c>
      <c r="H6" s="19">
        <v>1</v>
      </c>
      <c r="I6" s="19" t="s">
        <v>281</v>
      </c>
      <c r="J6" s="100"/>
    </row>
    <row r="7" spans="1:10" ht="15.5" x14ac:dyDescent="0.35">
      <c r="A7" s="8">
        <f>'Data Siswa'!A5</f>
        <v>4</v>
      </c>
      <c r="B7" s="104" t="str">
        <f>'Data Siswa'!B5</f>
        <v>ANGGITA RAMALIA</v>
      </c>
      <c r="C7" s="8" t="str">
        <f>'Data Siswa'!C5</f>
        <v>1207</v>
      </c>
      <c r="D7" s="19">
        <v>8</v>
      </c>
      <c r="E7" s="19">
        <v>8</v>
      </c>
      <c r="F7" s="19">
        <v>8</v>
      </c>
      <c r="G7" s="19">
        <v>2</v>
      </c>
      <c r="H7" s="19">
        <v>2</v>
      </c>
      <c r="I7" s="19" t="s">
        <v>281</v>
      </c>
      <c r="J7" s="100"/>
    </row>
    <row r="8" spans="1:10" ht="15.5" x14ac:dyDescent="0.35">
      <c r="A8" s="8">
        <f>'Data Siswa'!A6</f>
        <v>5</v>
      </c>
      <c r="B8" s="104" t="str">
        <f>'Data Siswa'!B6</f>
        <v>AYUDYA LESTARI</v>
      </c>
      <c r="C8" s="8" t="str">
        <f>'Data Siswa'!C6</f>
        <v>1208</v>
      </c>
      <c r="D8" s="19">
        <v>8</v>
      </c>
      <c r="E8" s="19">
        <v>8</v>
      </c>
      <c r="F8" s="19">
        <v>8</v>
      </c>
      <c r="G8" s="19" t="s">
        <v>281</v>
      </c>
      <c r="H8" s="19">
        <v>1</v>
      </c>
      <c r="I8" s="19" t="s">
        <v>281</v>
      </c>
      <c r="J8" s="100"/>
    </row>
    <row r="9" spans="1:10" ht="15.5" x14ac:dyDescent="0.35">
      <c r="A9" s="8">
        <f>'Data Siswa'!A7</f>
        <v>6</v>
      </c>
      <c r="B9" s="104" t="str">
        <f>'Data Siswa'!B7</f>
        <v>CAHYANI WULANDARI</v>
      </c>
      <c r="C9" s="8" t="str">
        <f>'Data Siswa'!C7</f>
        <v>1209</v>
      </c>
      <c r="D9" s="19">
        <v>8</v>
      </c>
      <c r="E9" s="19">
        <v>8</v>
      </c>
      <c r="F9" s="19">
        <v>8</v>
      </c>
      <c r="G9" s="19" t="s">
        <v>281</v>
      </c>
      <c r="H9" s="19">
        <v>2</v>
      </c>
      <c r="I9" s="19" t="s">
        <v>281</v>
      </c>
      <c r="J9" s="100"/>
    </row>
    <row r="10" spans="1:10" ht="15.5" x14ac:dyDescent="0.35">
      <c r="A10" s="8">
        <f>'Data Siswa'!A8</f>
        <v>7</v>
      </c>
      <c r="B10" s="104" t="str">
        <f>'Data Siswa'!B8</f>
        <v>CINDY RAHMANATI</v>
      </c>
      <c r="C10" s="8" t="str">
        <f>'Data Siswa'!C8</f>
        <v>1210</v>
      </c>
      <c r="D10" s="19">
        <v>8</v>
      </c>
      <c r="E10" s="19">
        <v>8</v>
      </c>
      <c r="F10" s="19">
        <v>8</v>
      </c>
      <c r="G10" s="19" t="s">
        <v>281</v>
      </c>
      <c r="H10" s="19">
        <v>2</v>
      </c>
      <c r="I10" s="19" t="s">
        <v>281</v>
      </c>
      <c r="J10" s="100"/>
    </row>
    <row r="11" spans="1:10" ht="15.5" x14ac:dyDescent="0.35">
      <c r="A11" s="8">
        <f>'Data Siswa'!A9</f>
        <v>8</v>
      </c>
      <c r="B11" s="104" t="str">
        <f>'Data Siswa'!B9</f>
        <v>DEWI AMELLIA</v>
      </c>
      <c r="C11" s="8" t="str">
        <f>'Data Siswa'!C9</f>
        <v>1211</v>
      </c>
      <c r="D11" s="19">
        <v>8</v>
      </c>
      <c r="E11" s="19">
        <v>8</v>
      </c>
      <c r="F11" s="19">
        <v>8</v>
      </c>
      <c r="G11" s="19">
        <v>1</v>
      </c>
      <c r="H11" s="19">
        <v>1</v>
      </c>
      <c r="I11" s="19" t="s">
        <v>281</v>
      </c>
      <c r="J11" s="100"/>
    </row>
    <row r="12" spans="1:10" ht="15.5" x14ac:dyDescent="0.35">
      <c r="A12" s="8">
        <f>'Data Siswa'!A10</f>
        <v>9</v>
      </c>
      <c r="B12" s="104" t="str">
        <f>'Data Siswa'!B10</f>
        <v>EGIDIA AGISTA NOVELIN</v>
      </c>
      <c r="C12" s="8" t="str">
        <f>'Data Siswa'!C10</f>
        <v>1212</v>
      </c>
      <c r="D12" s="19">
        <v>8</v>
      </c>
      <c r="E12" s="19">
        <v>8</v>
      </c>
      <c r="F12" s="19">
        <v>8</v>
      </c>
      <c r="G12" s="19" t="s">
        <v>281</v>
      </c>
      <c r="H12" s="19">
        <v>3</v>
      </c>
      <c r="I12" s="19" t="s">
        <v>281</v>
      </c>
      <c r="J12" s="100"/>
    </row>
    <row r="13" spans="1:10" ht="15.5" x14ac:dyDescent="0.35">
      <c r="A13" s="8">
        <f>'Data Siswa'!A11</f>
        <v>10</v>
      </c>
      <c r="B13" s="104" t="str">
        <f>'Data Siswa'!B11</f>
        <v>ELSA MARDIANA</v>
      </c>
      <c r="C13" s="8" t="str">
        <f>'Data Siswa'!C11</f>
        <v>1213</v>
      </c>
      <c r="D13" s="19">
        <v>8</v>
      </c>
      <c r="E13" s="19">
        <v>8</v>
      </c>
      <c r="F13" s="19">
        <v>8</v>
      </c>
      <c r="G13" s="19">
        <v>1</v>
      </c>
      <c r="H13" s="19">
        <v>2</v>
      </c>
      <c r="I13" s="19" t="s">
        <v>281</v>
      </c>
      <c r="J13" s="100"/>
    </row>
    <row r="14" spans="1:10" ht="15.5" x14ac:dyDescent="0.35">
      <c r="A14" s="8">
        <f>'Data Siswa'!A12</f>
        <v>11</v>
      </c>
      <c r="B14" s="104" t="str">
        <f>'Data Siswa'!B12</f>
        <v>ERINA ANGGRAENI</v>
      </c>
      <c r="C14" s="8" t="str">
        <f>'Data Siswa'!C12</f>
        <v>1214</v>
      </c>
      <c r="D14" s="19">
        <v>8</v>
      </c>
      <c r="E14" s="19">
        <v>8</v>
      </c>
      <c r="F14" s="19">
        <v>8</v>
      </c>
      <c r="G14" s="19" t="s">
        <v>281</v>
      </c>
      <c r="H14" s="19">
        <v>2</v>
      </c>
      <c r="I14" s="19" t="s">
        <v>281</v>
      </c>
      <c r="J14" s="100"/>
    </row>
    <row r="15" spans="1:10" ht="15.5" x14ac:dyDescent="0.35">
      <c r="A15" s="8">
        <f>'Data Siswa'!A13</f>
        <v>12</v>
      </c>
      <c r="B15" s="104" t="str">
        <f>'Data Siswa'!B13</f>
        <v>FAHIRA IKMALIA HADI</v>
      </c>
      <c r="C15" s="8" t="str">
        <f>'Data Siswa'!C13</f>
        <v>1215</v>
      </c>
      <c r="D15" s="19">
        <v>8</v>
      </c>
      <c r="E15" s="19">
        <v>8</v>
      </c>
      <c r="F15" s="19">
        <v>8</v>
      </c>
      <c r="G15" s="19" t="s">
        <v>281</v>
      </c>
      <c r="H15" s="19">
        <v>2</v>
      </c>
      <c r="I15" s="19" t="s">
        <v>281</v>
      </c>
      <c r="J15" s="100"/>
    </row>
    <row r="16" spans="1:10" ht="15.5" x14ac:dyDescent="0.35">
      <c r="A16" s="8">
        <f>'Data Siswa'!A14</f>
        <v>13</v>
      </c>
      <c r="B16" s="104" t="str">
        <f>'Data Siswa'!B14</f>
        <v>FANI RISKA VIANA</v>
      </c>
      <c r="C16" s="8" t="str">
        <f>'Data Siswa'!C14</f>
        <v>1216</v>
      </c>
      <c r="D16" s="19">
        <v>8</v>
      </c>
      <c r="E16" s="19">
        <v>8</v>
      </c>
      <c r="F16" s="19">
        <v>8</v>
      </c>
      <c r="G16" s="19">
        <v>2</v>
      </c>
      <c r="H16" s="19">
        <v>2</v>
      </c>
      <c r="I16" s="19" t="s">
        <v>281</v>
      </c>
      <c r="J16" s="100"/>
    </row>
    <row r="17" spans="1:10" ht="15.5" x14ac:dyDescent="0.35">
      <c r="A17" s="8">
        <f>'Data Siswa'!A15</f>
        <v>14</v>
      </c>
      <c r="B17" s="104" t="str">
        <f>'Data Siswa'!B15</f>
        <v>FIKA NUR AMELIA</v>
      </c>
      <c r="C17" s="8" t="str">
        <f>'Data Siswa'!C15</f>
        <v>1217</v>
      </c>
      <c r="D17" s="19">
        <v>8</v>
      </c>
      <c r="E17" s="19">
        <v>8</v>
      </c>
      <c r="F17" s="19">
        <v>8</v>
      </c>
      <c r="G17" s="19" t="s">
        <v>281</v>
      </c>
      <c r="H17" s="19">
        <v>3</v>
      </c>
      <c r="I17" s="19" t="s">
        <v>281</v>
      </c>
      <c r="J17" s="100"/>
    </row>
    <row r="18" spans="1:10" ht="15.5" x14ac:dyDescent="0.35">
      <c r="A18" s="8">
        <f>'Data Siswa'!A16</f>
        <v>15</v>
      </c>
      <c r="B18" s="104" t="str">
        <f>'Data Siswa'!B16</f>
        <v>INDAH MAWADDAH</v>
      </c>
      <c r="C18" s="8" t="str">
        <f>'Data Siswa'!C16</f>
        <v>1218</v>
      </c>
      <c r="D18" s="19">
        <v>8</v>
      </c>
      <c r="E18" s="19">
        <v>8</v>
      </c>
      <c r="F18" s="19">
        <v>8</v>
      </c>
      <c r="G18" s="19">
        <v>1</v>
      </c>
      <c r="H18" s="19">
        <v>2</v>
      </c>
      <c r="I18" s="19" t="s">
        <v>281</v>
      </c>
      <c r="J18" s="100"/>
    </row>
    <row r="19" spans="1:10" ht="15.5" x14ac:dyDescent="0.35">
      <c r="A19" s="8">
        <f>'Data Siswa'!A17</f>
        <v>16</v>
      </c>
      <c r="B19" s="104" t="str">
        <f>'Data Siswa'!B17</f>
        <v>INTAN NURRIZKA</v>
      </c>
      <c r="C19" s="8" t="str">
        <f>'Data Siswa'!C17</f>
        <v>1219</v>
      </c>
      <c r="D19" s="19">
        <v>8</v>
      </c>
      <c r="E19" s="19">
        <v>8</v>
      </c>
      <c r="F19" s="19">
        <v>8</v>
      </c>
      <c r="G19" s="19" t="s">
        <v>281</v>
      </c>
      <c r="H19" s="19">
        <v>3</v>
      </c>
      <c r="I19" s="19" t="s">
        <v>281</v>
      </c>
      <c r="J19" s="100"/>
    </row>
    <row r="20" spans="1:10" ht="15.5" x14ac:dyDescent="0.35">
      <c r="A20" s="8">
        <f>'Data Siswa'!A18</f>
        <v>17</v>
      </c>
      <c r="B20" s="104" t="str">
        <f>'Data Siswa'!B18</f>
        <v>KEISYA AURA RUSDIANSYAH</v>
      </c>
      <c r="C20" s="8" t="str">
        <f>'Data Siswa'!C18</f>
        <v>1220</v>
      </c>
      <c r="D20" s="19">
        <v>8</v>
      </c>
      <c r="E20" s="19">
        <v>8</v>
      </c>
      <c r="F20" s="19">
        <v>8</v>
      </c>
      <c r="G20" s="19" t="s">
        <v>281</v>
      </c>
      <c r="H20" s="19">
        <v>3</v>
      </c>
      <c r="I20" s="19" t="s">
        <v>281</v>
      </c>
      <c r="J20" s="100"/>
    </row>
    <row r="21" spans="1:10" ht="15.5" x14ac:dyDescent="0.35">
      <c r="A21" s="8">
        <f>'Data Siswa'!A19</f>
        <v>18</v>
      </c>
      <c r="B21" s="104" t="str">
        <f>'Data Siswa'!B19</f>
        <v>LESTIANA LUXMY MADINA NUSA</v>
      </c>
      <c r="C21" s="8" t="str">
        <f>'Data Siswa'!C19</f>
        <v>1221</v>
      </c>
      <c r="D21" s="19">
        <v>8</v>
      </c>
      <c r="E21" s="19">
        <v>8</v>
      </c>
      <c r="F21" s="19">
        <v>8</v>
      </c>
      <c r="G21" s="19" t="s">
        <v>281</v>
      </c>
      <c r="H21" s="19">
        <v>3</v>
      </c>
      <c r="I21" s="19" t="s">
        <v>281</v>
      </c>
      <c r="J21" s="100"/>
    </row>
    <row r="22" spans="1:10" ht="15.5" x14ac:dyDescent="0.35">
      <c r="A22" s="8">
        <f>'Data Siswa'!A20</f>
        <v>19</v>
      </c>
      <c r="B22" s="104" t="str">
        <f>'Data Siswa'!B20</f>
        <v>MEIRIN NUR SANDRILA</v>
      </c>
      <c r="C22" s="8" t="str">
        <f>'Data Siswa'!C20</f>
        <v>1222</v>
      </c>
      <c r="D22" s="19">
        <v>8</v>
      </c>
      <c r="E22" s="19">
        <v>8</v>
      </c>
      <c r="F22" s="19">
        <v>8</v>
      </c>
      <c r="G22" s="19" t="s">
        <v>281</v>
      </c>
      <c r="H22" s="19">
        <v>3</v>
      </c>
      <c r="I22" s="19" t="s">
        <v>281</v>
      </c>
      <c r="J22" s="100"/>
    </row>
    <row r="23" spans="1:10" ht="15.5" x14ac:dyDescent="0.35">
      <c r="A23" s="8">
        <f>'Data Siswa'!A21</f>
        <v>20</v>
      </c>
      <c r="B23" s="104" t="str">
        <f>'Data Siswa'!B21</f>
        <v>NAJWA KHOERUNNISA</v>
      </c>
      <c r="C23" s="8" t="str">
        <f>'Data Siswa'!C21</f>
        <v>1223</v>
      </c>
      <c r="D23" s="19">
        <v>8</v>
      </c>
      <c r="E23" s="19">
        <v>8</v>
      </c>
      <c r="F23" s="19">
        <v>8</v>
      </c>
      <c r="G23" s="19" t="s">
        <v>281</v>
      </c>
      <c r="H23" s="19">
        <v>3</v>
      </c>
      <c r="I23" s="19" t="s">
        <v>281</v>
      </c>
      <c r="J23" s="100"/>
    </row>
    <row r="24" spans="1:10" ht="15.5" x14ac:dyDescent="0.35">
      <c r="A24" s="8">
        <f>'Data Siswa'!A22</f>
        <v>21</v>
      </c>
      <c r="B24" s="104" t="str">
        <f>'Data Siswa'!B22</f>
        <v>NAJWA ZAHROTUNNISA</v>
      </c>
      <c r="C24" s="8" t="str">
        <f>'Data Siswa'!C22</f>
        <v>1224</v>
      </c>
      <c r="D24" s="19">
        <v>8</v>
      </c>
      <c r="E24" s="19">
        <v>8</v>
      </c>
      <c r="F24" s="19">
        <v>8</v>
      </c>
      <c r="G24" s="19" t="s">
        <v>281</v>
      </c>
      <c r="H24" s="19">
        <v>3</v>
      </c>
      <c r="I24" s="19" t="s">
        <v>281</v>
      </c>
      <c r="J24" s="100"/>
    </row>
    <row r="25" spans="1:10" ht="15.5" x14ac:dyDescent="0.35">
      <c r="A25" s="8">
        <f>'Data Siswa'!A23</f>
        <v>22</v>
      </c>
      <c r="B25" s="104" t="str">
        <f>'Data Siswa'!B23</f>
        <v>NANDA HAMIDAH</v>
      </c>
      <c r="C25" s="8" t="str">
        <f>'Data Siswa'!C23</f>
        <v>1225</v>
      </c>
      <c r="D25" s="19">
        <v>8</v>
      </c>
      <c r="E25" s="19">
        <v>8</v>
      </c>
      <c r="F25" s="19">
        <v>8</v>
      </c>
      <c r="G25" s="19" t="s">
        <v>281</v>
      </c>
      <c r="H25" s="19">
        <v>2</v>
      </c>
      <c r="I25" s="19" t="s">
        <v>281</v>
      </c>
      <c r="J25" s="100"/>
    </row>
    <row r="26" spans="1:10" ht="15.5" x14ac:dyDescent="0.35">
      <c r="A26" s="8">
        <f>'Data Siswa'!A24</f>
        <v>23</v>
      </c>
      <c r="B26" s="104" t="str">
        <f>'Data Siswa'!B24</f>
        <v>NOVA AULIA RITONGA</v>
      </c>
      <c r="C26" s="8" t="str">
        <f>'Data Siswa'!C24</f>
        <v>1226</v>
      </c>
      <c r="D26" s="19">
        <v>8</v>
      </c>
      <c r="E26" s="19">
        <v>8</v>
      </c>
      <c r="F26" s="19">
        <v>8</v>
      </c>
      <c r="G26" s="19">
        <v>1</v>
      </c>
      <c r="H26" s="19">
        <v>1</v>
      </c>
      <c r="I26" s="19" t="s">
        <v>281</v>
      </c>
      <c r="J26" s="100"/>
    </row>
    <row r="27" spans="1:10" ht="15.5" x14ac:dyDescent="0.35">
      <c r="A27" s="8">
        <f>'Data Siswa'!A25</f>
        <v>24</v>
      </c>
      <c r="B27" s="104" t="str">
        <f>'Data Siswa'!B25</f>
        <v>NUR AFNI OKTAFIYANTI</v>
      </c>
      <c r="C27" s="8" t="str">
        <f>'Data Siswa'!C25</f>
        <v>1227</v>
      </c>
      <c r="D27" s="19">
        <v>8</v>
      </c>
      <c r="E27" s="19">
        <v>8</v>
      </c>
      <c r="F27" s="19">
        <v>8</v>
      </c>
      <c r="G27" s="19" t="s">
        <v>281</v>
      </c>
      <c r="H27" s="19">
        <v>1</v>
      </c>
      <c r="I27" s="19" t="s">
        <v>281</v>
      </c>
      <c r="J27" s="100"/>
    </row>
    <row r="28" spans="1:10" ht="15.5" x14ac:dyDescent="0.35">
      <c r="A28" s="8">
        <f>'Data Siswa'!A26</f>
        <v>25</v>
      </c>
      <c r="B28" s="104" t="str">
        <f>'Data Siswa'!B26</f>
        <v>NURIYANTI</v>
      </c>
      <c r="C28" s="8" t="str">
        <f>'Data Siswa'!C26</f>
        <v>1228</v>
      </c>
      <c r="D28" s="19">
        <v>8</v>
      </c>
      <c r="E28" s="19">
        <v>8</v>
      </c>
      <c r="F28" s="19">
        <v>8</v>
      </c>
      <c r="G28" s="19">
        <v>1</v>
      </c>
      <c r="H28" s="19">
        <v>1</v>
      </c>
      <c r="I28" s="19" t="s">
        <v>281</v>
      </c>
      <c r="J28" s="100"/>
    </row>
    <row r="29" spans="1:10" ht="15.5" x14ac:dyDescent="0.35">
      <c r="A29" s="8">
        <f>'Data Siswa'!A27</f>
        <v>26</v>
      </c>
      <c r="B29" s="104" t="str">
        <f>'Data Siswa'!B27</f>
        <v>RAMINAH</v>
      </c>
      <c r="C29" s="8" t="str">
        <f>'Data Siswa'!C27</f>
        <v>1229</v>
      </c>
      <c r="D29" s="19">
        <v>8</v>
      </c>
      <c r="E29" s="19">
        <v>8</v>
      </c>
      <c r="F29" s="19">
        <v>8</v>
      </c>
      <c r="G29" s="19">
        <v>1</v>
      </c>
      <c r="H29" s="19">
        <v>2</v>
      </c>
      <c r="I29" s="19" t="s">
        <v>281</v>
      </c>
      <c r="J29" s="100"/>
    </row>
    <row r="30" spans="1:10" ht="15.5" x14ac:dyDescent="0.35">
      <c r="A30" s="8">
        <f>'Data Siswa'!A28</f>
        <v>27</v>
      </c>
      <c r="B30" s="104" t="str">
        <f>'Data Siswa'!B28</f>
        <v>RAYNA NURUL AUDINA</v>
      </c>
      <c r="C30" s="8" t="str">
        <f>'Data Siswa'!C28</f>
        <v>1230</v>
      </c>
      <c r="D30" s="19">
        <v>8</v>
      </c>
      <c r="E30" s="19">
        <v>8</v>
      </c>
      <c r="F30" s="19">
        <v>8</v>
      </c>
      <c r="G30" s="19">
        <v>1</v>
      </c>
      <c r="H30" s="19">
        <v>1</v>
      </c>
      <c r="I30" s="19" t="s">
        <v>281</v>
      </c>
      <c r="J30" s="100"/>
    </row>
    <row r="31" spans="1:10" ht="15.5" x14ac:dyDescent="0.35">
      <c r="A31" s="8">
        <f>'Data Siswa'!A29</f>
        <v>28</v>
      </c>
      <c r="B31" s="104" t="str">
        <f>'Data Siswa'!B29</f>
        <v>REIFA AULIA NURFAUZA</v>
      </c>
      <c r="C31" s="8" t="str">
        <f>'Data Siswa'!C29</f>
        <v>1231</v>
      </c>
      <c r="D31" s="19">
        <v>8</v>
      </c>
      <c r="E31" s="19">
        <v>8</v>
      </c>
      <c r="F31" s="19">
        <v>8</v>
      </c>
      <c r="G31" s="19">
        <v>1</v>
      </c>
      <c r="H31" s="19">
        <v>1</v>
      </c>
      <c r="I31" s="19" t="s">
        <v>281</v>
      </c>
      <c r="J31" s="100"/>
    </row>
    <row r="32" spans="1:10" ht="15.5" x14ac:dyDescent="0.35">
      <c r="A32" s="8">
        <f>'Data Siswa'!A30</f>
        <v>29</v>
      </c>
      <c r="B32" s="104" t="str">
        <f>'Data Siswa'!B30</f>
        <v>SALIS FIJRIYANI</v>
      </c>
      <c r="C32" s="8" t="str">
        <f>'Data Siswa'!C30</f>
        <v>1232</v>
      </c>
      <c r="D32" s="19">
        <v>8</v>
      </c>
      <c r="E32" s="19">
        <v>8</v>
      </c>
      <c r="F32" s="19">
        <v>8</v>
      </c>
      <c r="G32" s="19">
        <v>1</v>
      </c>
      <c r="H32" s="19">
        <v>1</v>
      </c>
      <c r="I32" s="19" t="s">
        <v>281</v>
      </c>
      <c r="J32" s="100"/>
    </row>
    <row r="33" spans="1:10" ht="15.5" x14ac:dyDescent="0.35">
      <c r="A33" s="8">
        <f>'Data Siswa'!A31</f>
        <v>30</v>
      </c>
      <c r="B33" s="104" t="str">
        <f>'Data Siswa'!B31</f>
        <v>SITI ADLAH</v>
      </c>
      <c r="C33" s="8" t="str">
        <f>'Data Siswa'!C31</f>
        <v>1233</v>
      </c>
      <c r="D33" s="19">
        <v>8</v>
      </c>
      <c r="E33" s="19">
        <v>8</v>
      </c>
      <c r="F33" s="19">
        <v>8</v>
      </c>
      <c r="G33" s="19">
        <v>1</v>
      </c>
      <c r="H33" s="19">
        <v>3</v>
      </c>
      <c r="I33" s="19" t="s">
        <v>281</v>
      </c>
      <c r="J33" s="100"/>
    </row>
    <row r="34" spans="1:10" ht="15.5" x14ac:dyDescent="0.35">
      <c r="A34" s="8">
        <f>'Data Siswa'!A32</f>
        <v>31</v>
      </c>
      <c r="B34" s="104" t="str">
        <f>'Data Siswa'!B32</f>
        <v>SITI NURHALISAH</v>
      </c>
      <c r="C34" s="8" t="str">
        <f>'Data Siswa'!C32</f>
        <v>1234</v>
      </c>
      <c r="D34" s="19">
        <v>8</v>
      </c>
      <c r="E34" s="19">
        <v>8</v>
      </c>
      <c r="F34" s="19">
        <v>8</v>
      </c>
      <c r="G34" s="19" t="s">
        <v>281</v>
      </c>
      <c r="H34" s="19">
        <v>3</v>
      </c>
      <c r="I34" s="19" t="s">
        <v>281</v>
      </c>
      <c r="J34" s="100" t="s">
        <v>281</v>
      </c>
    </row>
    <row r="35" spans="1:10" ht="15.5" x14ac:dyDescent="0.35">
      <c r="A35" s="8">
        <f>'Data Siswa'!A33</f>
        <v>32</v>
      </c>
      <c r="B35" s="104" t="str">
        <f>'Data Siswa'!B33</f>
        <v>TIA FATHATUL MUTHOHAROH</v>
      </c>
      <c r="C35" s="8" t="str">
        <f>'Data Siswa'!C33</f>
        <v>1235</v>
      </c>
      <c r="D35" s="19">
        <v>8</v>
      </c>
      <c r="E35" s="19">
        <v>8</v>
      </c>
      <c r="F35" s="19">
        <v>8</v>
      </c>
      <c r="G35" s="19" t="s">
        <v>281</v>
      </c>
      <c r="H35" s="19">
        <v>3</v>
      </c>
      <c r="I35" s="19" t="s">
        <v>281</v>
      </c>
      <c r="J35" s="100" t="s">
        <v>281</v>
      </c>
    </row>
    <row r="36" spans="1:10" ht="15.5" x14ac:dyDescent="0.35">
      <c r="A36" s="8">
        <f>'Data Siswa'!A34</f>
        <v>33</v>
      </c>
      <c r="B36" s="104" t="str">
        <f>'Data Siswa'!B34</f>
        <v>VHISCA FAMELA ERICA</v>
      </c>
      <c r="C36" s="8" t="str">
        <f>'Data Siswa'!C34</f>
        <v>1236</v>
      </c>
      <c r="D36" s="19">
        <v>8</v>
      </c>
      <c r="E36" s="19">
        <v>8</v>
      </c>
      <c r="F36" s="19">
        <v>8</v>
      </c>
      <c r="G36" s="19" t="s">
        <v>281</v>
      </c>
      <c r="H36" s="19">
        <v>3</v>
      </c>
      <c r="I36" s="19" t="s">
        <v>281</v>
      </c>
      <c r="J36" s="100" t="s">
        <v>281</v>
      </c>
    </row>
    <row r="37" spans="1:10" ht="15.5" x14ac:dyDescent="0.35">
      <c r="A37" s="8">
        <f>'Data Siswa'!A35</f>
        <v>34</v>
      </c>
      <c r="B37" s="104" t="str">
        <f>'Data Siswa'!B35</f>
        <v>ZAHROTUL AWWALIYAH</v>
      </c>
      <c r="C37" s="8" t="str">
        <f>'Data Siswa'!C35</f>
        <v>1237</v>
      </c>
      <c r="D37" s="19">
        <v>8</v>
      </c>
      <c r="E37" s="19">
        <v>8</v>
      </c>
      <c r="F37" s="19">
        <v>8</v>
      </c>
      <c r="G37" s="19" t="s">
        <v>281</v>
      </c>
      <c r="H37" s="19">
        <v>3</v>
      </c>
      <c r="I37" s="19" t="s">
        <v>281</v>
      </c>
      <c r="J37" s="100" t="s">
        <v>281</v>
      </c>
    </row>
    <row r="38" spans="1:10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100" t="s">
        <v>281</v>
      </c>
    </row>
    <row r="39" spans="1:10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100" t="s">
        <v>281</v>
      </c>
    </row>
    <row r="40" spans="1:10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100" t="s">
        <v>281</v>
      </c>
    </row>
    <row r="41" spans="1:10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100" t="s">
        <v>281</v>
      </c>
    </row>
    <row r="42" spans="1:10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100" t="s">
        <v>281</v>
      </c>
    </row>
    <row r="43" spans="1:10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100" t="s">
        <v>281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topLeftCell="A42" zoomScale="70" zoomScaleNormal="70" zoomScalePageLayoutView="70" workbookViewId="0">
      <selection activeCell="W50" sqref="W50"/>
    </sheetView>
  </sheetViews>
  <sheetFormatPr defaultColWidth="0" defaultRowHeight="14.5" zeroHeight="1" x14ac:dyDescent="0.35"/>
  <cols>
    <col min="1" max="1" width="4.26953125" customWidth="1"/>
    <col min="2" max="2" width="10.7265625" customWidth="1"/>
    <col min="3" max="3" width="1.1796875" customWidth="1"/>
    <col min="4" max="4" width="0.90625" customWidth="1"/>
    <col min="5" max="5" width="2.26953125" customWidth="1"/>
    <col min="6" max="6" width="0.36328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7265625" customWidth="1"/>
    <col min="14" max="14" width="5.08984375" style="3" customWidth="1"/>
    <col min="15" max="15" width="10.7265625" customWidth="1"/>
    <col min="16" max="16" width="4" customWidth="1"/>
    <col min="17" max="17" width="14.08984375" customWidth="1"/>
    <col min="18" max="18" width="4.81640625" customWidth="1"/>
    <col min="19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59" t="str">
        <f>VLOOKUP($U$7,'Nilai Tahriri'!$A$2:$AJ$41,2,FALSE)</f>
        <v>ZAHROTUL AWWALIYAH</v>
      </c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9" customHeight="1" x14ac:dyDescent="0.35">
      <c r="B3" s="159" t="str">
        <f>Biodata!$B$10</f>
        <v>العام الدراسي : ١٤٤٤ - ١٤٤٥ ه \ ٢٠٢٣ - ٢٠٢٤ م</v>
      </c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 t="str">
        <f>Biodata!$B$7</f>
        <v>الفصل الدراسي : الأول</v>
      </c>
      <c r="N3" s="159"/>
      <c r="O3" s="159"/>
      <c r="P3" s="159" t="str">
        <f>Biodata!$B$4</f>
        <v>الصف  : الخامس د للبنات</v>
      </c>
      <c r="Q3" s="159"/>
      <c r="R3" s="159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8.25" customHeight="1" thickBot="1" x14ac:dyDescent="0.4">
      <c r="B4" s="32" t="s">
        <v>97</v>
      </c>
      <c r="C4" s="32"/>
      <c r="D4" s="32"/>
      <c r="E4" s="32"/>
      <c r="F4" s="32"/>
      <c r="G4" s="32"/>
      <c r="H4" s="32"/>
      <c r="I4" s="32"/>
      <c r="J4" s="32"/>
      <c r="K4" s="32"/>
      <c r="L4" s="5"/>
      <c r="M4" s="32"/>
      <c r="O4" s="32"/>
      <c r="P4" s="32"/>
      <c r="Q4" s="32"/>
      <c r="R4" s="32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17.149999999999999" customHeight="1" x14ac:dyDescent="0.35">
      <c r="B5" s="160" t="s">
        <v>270</v>
      </c>
      <c r="C5" s="161"/>
      <c r="D5" s="161"/>
      <c r="E5" s="161"/>
      <c r="F5" s="161"/>
      <c r="G5" s="161"/>
      <c r="H5" s="161"/>
      <c r="I5" s="161"/>
      <c r="J5" s="161"/>
      <c r="K5" s="161"/>
      <c r="L5" s="162" t="s">
        <v>0</v>
      </c>
      <c r="M5" s="160" t="s">
        <v>270</v>
      </c>
      <c r="N5" s="161"/>
      <c r="O5" s="161"/>
      <c r="P5" s="161"/>
      <c r="Q5" s="161"/>
      <c r="R5" s="174" t="s">
        <v>0</v>
      </c>
      <c r="S5" s="21"/>
      <c r="T5" s="21"/>
      <c r="U5" s="21"/>
      <c r="V5" s="21"/>
      <c r="W5" s="21"/>
      <c r="X5" s="20"/>
      <c r="Y5" s="20"/>
      <c r="Z5" s="20"/>
      <c r="AA5" s="20"/>
      <c r="AB5" s="20"/>
    </row>
    <row r="6" spans="2:28" ht="17.149999999999999" customHeight="1" x14ac:dyDescent="0.35">
      <c r="B6" s="176" t="s">
        <v>1</v>
      </c>
      <c r="C6" s="177"/>
      <c r="D6" s="177"/>
      <c r="E6" s="177"/>
      <c r="F6" s="177"/>
      <c r="G6" s="177" t="s">
        <v>2</v>
      </c>
      <c r="H6" s="177"/>
      <c r="I6" s="177"/>
      <c r="J6" s="177"/>
      <c r="K6" s="177"/>
      <c r="L6" s="163"/>
      <c r="M6" s="176" t="s">
        <v>1</v>
      </c>
      <c r="N6" s="177"/>
      <c r="O6" s="177" t="s">
        <v>3</v>
      </c>
      <c r="P6" s="177"/>
      <c r="Q6" s="177"/>
      <c r="R6" s="175"/>
      <c r="S6" s="23"/>
      <c r="T6" s="23"/>
      <c r="U6" s="24" t="s">
        <v>98</v>
      </c>
      <c r="V6" s="23"/>
      <c r="W6" s="20"/>
      <c r="X6" s="20"/>
      <c r="Y6" s="20"/>
      <c r="Z6" s="20"/>
      <c r="AA6" s="20"/>
      <c r="AB6" s="20"/>
    </row>
    <row r="7" spans="2:28" ht="17.149999999999999" customHeight="1" thickBot="1" x14ac:dyDescent="0.4">
      <c r="B7" s="70" t="s">
        <v>4</v>
      </c>
      <c r="C7" s="178" t="s">
        <v>5</v>
      </c>
      <c r="D7" s="178"/>
      <c r="E7" s="178"/>
      <c r="F7" s="178"/>
      <c r="G7" s="178"/>
      <c r="H7" s="178"/>
      <c r="I7" s="178"/>
      <c r="J7" s="178"/>
      <c r="K7" s="178"/>
      <c r="L7" s="164"/>
      <c r="M7" s="67" t="s">
        <v>4</v>
      </c>
      <c r="N7" s="33" t="s">
        <v>5</v>
      </c>
      <c r="O7" s="178"/>
      <c r="P7" s="178"/>
      <c r="Q7" s="178"/>
      <c r="R7" s="175"/>
      <c r="S7" s="23"/>
      <c r="T7" s="23"/>
      <c r="U7" s="25">
        <v>34</v>
      </c>
      <c r="V7" s="23"/>
      <c r="W7" s="20"/>
      <c r="X7" s="20"/>
      <c r="Y7" s="20"/>
      <c r="Z7" s="20"/>
      <c r="AA7" s="20"/>
      <c r="AB7" s="20"/>
    </row>
    <row r="8" spans="2:28" ht="15.65" customHeight="1" thickBot="1" x14ac:dyDescent="0.4">
      <c r="B8" s="248" t="s">
        <v>142</v>
      </c>
      <c r="C8" s="249"/>
      <c r="D8" s="249"/>
      <c r="E8" s="249"/>
      <c r="F8" s="249"/>
      <c r="G8" s="249"/>
      <c r="H8" s="249"/>
      <c r="I8" s="249"/>
      <c r="J8" s="249"/>
      <c r="K8" s="249"/>
      <c r="L8" s="249"/>
      <c r="M8" s="90" t="str">
        <f>VLOOKUP(N8,Sheet1!$A$1:$B$93,2)</f>
        <v xml:space="preserve"> </v>
      </c>
      <c r="N8" s="95"/>
      <c r="O8" s="97"/>
      <c r="P8" s="169" t="s">
        <v>100</v>
      </c>
      <c r="Q8" s="170"/>
      <c r="R8" s="96">
        <v>1</v>
      </c>
      <c r="S8" s="23"/>
      <c r="T8" s="23"/>
      <c r="U8" s="20"/>
      <c r="V8" s="23"/>
      <c r="W8" s="20"/>
      <c r="X8" s="20"/>
      <c r="Y8" s="20"/>
      <c r="Z8" s="20"/>
      <c r="AA8" s="20"/>
      <c r="AB8" s="20"/>
    </row>
    <row r="9" spans="2:28" ht="15.65" customHeight="1" x14ac:dyDescent="0.35">
      <c r="B9" s="80" t="str">
        <f>VLOOKUP(C9,Sheet1!$A$1:$B$93,2)</f>
        <v xml:space="preserve"> خمس و نصف</v>
      </c>
      <c r="C9" s="253">
        <f>VLOOKUP($U$7,'Nilai Syafahi'!$A$4:$Z$43,4,FALSE)</f>
        <v>5.5</v>
      </c>
      <c r="D9" s="254"/>
      <c r="E9" s="254"/>
      <c r="F9" s="254"/>
      <c r="G9" s="171" t="s">
        <v>144</v>
      </c>
      <c r="H9" s="172"/>
      <c r="I9" s="172"/>
      <c r="J9" s="172"/>
      <c r="K9" s="173"/>
      <c r="L9" s="83">
        <v>40</v>
      </c>
      <c r="M9" s="91" t="str">
        <f>VLOOKUP(N9,Sheet1!$A$1:$B$93,2)</f>
        <v xml:space="preserve"> اربع و نصف</v>
      </c>
      <c r="N9" s="68">
        <f>VLOOKUP($U$7,'Nilai Tahriri'!$A$2:$AJ$41,4,FALSE)</f>
        <v>4.5</v>
      </c>
      <c r="O9" s="93"/>
      <c r="P9" s="167" t="s">
        <v>101</v>
      </c>
      <c r="Q9" s="168"/>
      <c r="R9" s="62">
        <v>2</v>
      </c>
      <c r="S9" s="23"/>
      <c r="T9" s="23"/>
      <c r="U9" s="153" t="s">
        <v>152</v>
      </c>
      <c r="V9" s="155">
        <v>1</v>
      </c>
      <c r="W9" s="20"/>
      <c r="X9" s="20"/>
      <c r="Y9" s="20"/>
      <c r="Z9" s="20"/>
      <c r="AA9" s="20"/>
      <c r="AB9" s="20"/>
    </row>
    <row r="10" spans="2:28" ht="15.65" customHeight="1" x14ac:dyDescent="0.35">
      <c r="B10" s="34" t="str">
        <f>VLOOKUP(C10,Sheet1!$A$1:$B$93,2)</f>
        <v xml:space="preserve"> خمس و نصف</v>
      </c>
      <c r="C10" s="165">
        <f>VLOOKUP($U$7,'Nilai Syafahi'!$A$4:$Z$43,5,FALSE)</f>
        <v>5.5</v>
      </c>
      <c r="D10" s="166"/>
      <c r="E10" s="166"/>
      <c r="F10" s="166"/>
      <c r="G10" s="184"/>
      <c r="H10" s="185"/>
      <c r="I10" s="185"/>
      <c r="J10" s="185"/>
      <c r="K10" s="66" t="s">
        <v>6</v>
      </c>
      <c r="L10" s="84">
        <v>41</v>
      </c>
      <c r="M10" s="91" t="str">
        <f>VLOOKUP(N10,Sheet1!$A$1:$B$93,2)</f>
        <v xml:space="preserve"> خمس</v>
      </c>
      <c r="N10" s="68">
        <f>VLOOKUP($U$7,'Nilai Tahriri'!$A$2:$AJ$41,5,FALSE)</f>
        <v>5</v>
      </c>
      <c r="O10" s="93"/>
      <c r="P10" s="167" t="s">
        <v>102</v>
      </c>
      <c r="Q10" s="168"/>
      <c r="R10" s="62">
        <v>3</v>
      </c>
      <c r="S10" s="23"/>
      <c r="T10" s="23"/>
      <c r="U10" s="154"/>
      <c r="V10" s="156"/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خمس و نصف</v>
      </c>
      <c r="C11" s="165">
        <f>VLOOKUP($U$7,'Nilai Syafahi'!$A$4:$Z$43,6,FALSE)</f>
        <v>5.5</v>
      </c>
      <c r="D11" s="166"/>
      <c r="E11" s="166"/>
      <c r="F11" s="166"/>
      <c r="G11" s="184"/>
      <c r="H11" s="185"/>
      <c r="I11" s="185"/>
      <c r="J11" s="185"/>
      <c r="K11" s="66" t="s">
        <v>8</v>
      </c>
      <c r="L11" s="84">
        <v>42</v>
      </c>
      <c r="M11" s="91" t="str">
        <f>VLOOKUP(N11,Sheet1!$A$1:$B$93,2)</f>
        <v xml:space="preserve"> اربع</v>
      </c>
      <c r="N11" s="68">
        <f>VLOOKUP($U$7,'Nilai Tahriri'!$A$2:$AJ$41,6,FALSE)</f>
        <v>4</v>
      </c>
      <c r="O11" s="93"/>
      <c r="P11" s="167" t="s">
        <v>103</v>
      </c>
      <c r="Q11" s="168"/>
      <c r="R11" s="62">
        <v>4</v>
      </c>
      <c r="S11" s="23"/>
      <c r="T11" s="23"/>
      <c r="U11" s="153" t="s">
        <v>153</v>
      </c>
      <c r="V11" s="157">
        <v>34</v>
      </c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خمس و نصف</v>
      </c>
      <c r="C12" s="165">
        <f>VLOOKUP($U$7,'Nilai Syafahi'!$A$4:$Z$43,7,FALSE)</f>
        <v>5.5</v>
      </c>
      <c r="D12" s="166"/>
      <c r="E12" s="166"/>
      <c r="F12" s="166"/>
      <c r="G12" s="184"/>
      <c r="H12" s="185"/>
      <c r="I12" s="185"/>
      <c r="J12" s="185"/>
      <c r="K12" s="66" t="s">
        <v>10</v>
      </c>
      <c r="L12" s="84">
        <v>43</v>
      </c>
      <c r="M12" s="91" t="str">
        <f>VLOOKUP(N12,Sheet1!$A$1:$B$93,2)</f>
        <v xml:space="preserve"> اربع و نصف</v>
      </c>
      <c r="N12" s="68">
        <f>VLOOKUP($U$7,'Nilai Tahriri'!$A$2:$AJ$41,7,FALSE)</f>
        <v>4.5</v>
      </c>
      <c r="O12" s="93"/>
      <c r="P12" s="167" t="s">
        <v>104</v>
      </c>
      <c r="Q12" s="168"/>
      <c r="R12" s="62">
        <v>5</v>
      </c>
      <c r="S12" s="23"/>
      <c r="T12" s="23"/>
      <c r="U12" s="154"/>
      <c r="V12" s="156"/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خمس و نصف</v>
      </c>
      <c r="C13" s="165">
        <f>VLOOKUP($U$7,'Nilai Syafahi'!$A$4:$Z$43,8,FALSE)</f>
        <v>5.5</v>
      </c>
      <c r="D13" s="166"/>
      <c r="E13" s="166"/>
      <c r="F13" s="166"/>
      <c r="G13" s="184"/>
      <c r="H13" s="185"/>
      <c r="I13" s="185"/>
      <c r="J13" s="185"/>
      <c r="K13" s="66" t="s">
        <v>12</v>
      </c>
      <c r="L13" s="84">
        <v>44</v>
      </c>
      <c r="M13" s="91" t="str">
        <f>VLOOKUP(N13,Sheet1!$A$1:$B$93,2)</f>
        <v xml:space="preserve"> اربع و نصف</v>
      </c>
      <c r="N13" s="68">
        <f>VLOOKUP($U$7,'Nilai Tahriri'!$A$2:$AJ$41,8,FALSE)</f>
        <v>4.5</v>
      </c>
      <c r="O13" s="93"/>
      <c r="P13" s="167" t="s">
        <v>105</v>
      </c>
      <c r="Q13" s="168"/>
      <c r="R13" s="62">
        <v>6</v>
      </c>
      <c r="S13" s="23"/>
      <c r="T13" s="23"/>
      <c r="U13" s="20"/>
      <c r="V13" s="23"/>
      <c r="W13" s="20"/>
      <c r="X13" s="20"/>
      <c r="Y13" s="20"/>
      <c r="Z13" s="20"/>
      <c r="AA13" s="20"/>
      <c r="AB13" s="20"/>
    </row>
    <row r="14" spans="2:28" ht="15.65" customHeight="1" thickBot="1" x14ac:dyDescent="0.4">
      <c r="B14" s="34" t="str">
        <f>VLOOKUP(C14,Sheet1!$A$1:$B$93,2)</f>
        <v xml:space="preserve"> ستّ</v>
      </c>
      <c r="C14" s="165">
        <f>VLOOKUP($U$7,'Nilai Syafahi'!$A$4:$Z$43,9,FALSE)</f>
        <v>6</v>
      </c>
      <c r="D14" s="166"/>
      <c r="E14" s="166"/>
      <c r="F14" s="166"/>
      <c r="G14" s="184"/>
      <c r="H14" s="185"/>
      <c r="I14" s="185"/>
      <c r="J14" s="185"/>
      <c r="K14" s="66" t="s">
        <v>14</v>
      </c>
      <c r="L14" s="84">
        <v>45</v>
      </c>
      <c r="M14" s="91" t="str">
        <f>VLOOKUP(N14,Sheet1!$A$1:$B$93,2)</f>
        <v xml:space="preserve"> ست و نصف</v>
      </c>
      <c r="N14" s="68">
        <f>VLOOKUP($U$7,'Nilai Tahriri'!$A$2:$AJ$41,9,FALSE)</f>
        <v>6.5</v>
      </c>
      <c r="O14" s="93"/>
      <c r="P14" s="167" t="s">
        <v>106</v>
      </c>
      <c r="Q14" s="168"/>
      <c r="R14" s="62">
        <v>7</v>
      </c>
      <c r="S14" s="26"/>
      <c r="T14" s="26"/>
      <c r="U14" s="20"/>
      <c r="V14" s="26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248" t="s">
        <v>143</v>
      </c>
      <c r="C15" s="249"/>
      <c r="D15" s="249"/>
      <c r="E15" s="249"/>
      <c r="F15" s="249"/>
      <c r="G15" s="249"/>
      <c r="H15" s="249"/>
      <c r="I15" s="249"/>
      <c r="J15" s="249"/>
      <c r="K15" s="249"/>
      <c r="L15" s="249"/>
      <c r="M15" s="91" t="str">
        <f>VLOOKUP(N15,Sheet1!$A$1:$B$93,2)</f>
        <v xml:space="preserve"> </v>
      </c>
      <c r="N15" s="68"/>
      <c r="O15" s="93"/>
      <c r="P15" s="167" t="s">
        <v>107</v>
      </c>
      <c r="Q15" s="168"/>
      <c r="R15" s="62">
        <v>8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x14ac:dyDescent="0.35">
      <c r="B16" s="34" t="str">
        <f>VLOOKUP(C16,Sheet1!$A$1:$B$93,2)</f>
        <v xml:space="preserve"> خمس و نصف</v>
      </c>
      <c r="C16" s="165">
        <f>VLOOKUP($U$7,'Nilai Syafahi'!$A$4:$Z$43,10,FALSE)</f>
        <v>5.5</v>
      </c>
      <c r="D16" s="166"/>
      <c r="E16" s="166"/>
      <c r="F16" s="166"/>
      <c r="G16" s="181" t="s">
        <v>66</v>
      </c>
      <c r="H16" s="182"/>
      <c r="I16" s="182"/>
      <c r="J16" s="182"/>
      <c r="K16" s="183"/>
      <c r="L16" s="84">
        <v>46</v>
      </c>
      <c r="M16" s="91" t="str">
        <f>VLOOKUP(N16,Sheet1!$A$1:$B$93,2)</f>
        <v xml:space="preserve"> اربع</v>
      </c>
      <c r="N16" s="68">
        <f>VLOOKUP($U$7,'Nilai Tahriri'!$A$2:$AJ$41,10,FALSE)</f>
        <v>4</v>
      </c>
      <c r="O16" s="93"/>
      <c r="P16" s="167" t="s">
        <v>108</v>
      </c>
      <c r="Q16" s="168"/>
      <c r="R16" s="62">
        <v>9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ستّ</v>
      </c>
      <c r="C17" s="165">
        <f>VLOOKUP($U$7,'Nilai Syafahi'!$A$4:$Z$43,11,FALSE)</f>
        <v>6</v>
      </c>
      <c r="D17" s="166"/>
      <c r="E17" s="166"/>
      <c r="F17" s="166"/>
      <c r="G17" s="181" t="s">
        <v>180</v>
      </c>
      <c r="H17" s="182" t="s">
        <v>180</v>
      </c>
      <c r="I17" s="182" t="s">
        <v>180</v>
      </c>
      <c r="J17" s="182" t="s">
        <v>180</v>
      </c>
      <c r="K17" s="183" t="s">
        <v>180</v>
      </c>
      <c r="L17" s="84">
        <v>47</v>
      </c>
      <c r="M17" s="91" t="str">
        <f>VLOOKUP(N17,Sheet1!$A$1:$B$93,2)</f>
        <v xml:space="preserve"> ستّ</v>
      </c>
      <c r="N17" s="68">
        <f>VLOOKUP($U$7,'Nilai Tahriri'!$A$2:$AJ$41,11,FALSE)</f>
        <v>6</v>
      </c>
      <c r="O17" s="93"/>
      <c r="P17" s="167" t="s">
        <v>109</v>
      </c>
      <c r="Q17" s="168"/>
      <c r="R17" s="62">
        <v>10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ستّ</v>
      </c>
      <c r="C18" s="165">
        <f>VLOOKUP($U$7,'Nilai Syafahi'!$A$4:$Z$43,12,FALSE)</f>
        <v>6</v>
      </c>
      <c r="D18" s="166"/>
      <c r="E18" s="166"/>
      <c r="F18" s="166"/>
      <c r="G18" s="181" t="s">
        <v>88</v>
      </c>
      <c r="H18" s="182"/>
      <c r="I18" s="182"/>
      <c r="J18" s="182"/>
      <c r="K18" s="183"/>
      <c r="L18" s="84">
        <v>48</v>
      </c>
      <c r="M18" s="91" t="str">
        <f>VLOOKUP(N18,Sheet1!$A$1:$B$93,2)</f>
        <v xml:space="preserve"> </v>
      </c>
      <c r="N18" s="68">
        <f>VLOOKUP($U$7,'Nilai Tahriri'!$A$2:$AJ$41,12,FALSE)</f>
        <v>0</v>
      </c>
      <c r="O18" s="93"/>
      <c r="P18" s="167" t="s">
        <v>110</v>
      </c>
      <c r="Q18" s="168"/>
      <c r="R18" s="62">
        <v>11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خمس و نصف</v>
      </c>
      <c r="C19" s="165">
        <f>VLOOKUP($U$7,'Nilai Syafahi'!$A$4:$Z$43,13,FALSE)</f>
        <v>5.5</v>
      </c>
      <c r="D19" s="166"/>
      <c r="E19" s="166"/>
      <c r="F19" s="166"/>
      <c r="G19" s="181" t="s">
        <v>269</v>
      </c>
      <c r="H19" s="182"/>
      <c r="I19" s="182"/>
      <c r="J19" s="182"/>
      <c r="K19" s="183"/>
      <c r="L19" s="84">
        <v>49</v>
      </c>
      <c r="M19" s="91" t="str">
        <f>VLOOKUP(N19,Sheet1!$A$1:$B$93,2)</f>
        <v xml:space="preserve"> خمس</v>
      </c>
      <c r="N19" s="68">
        <f>VLOOKUP($U$7,'Nilai Tahriri'!$A$2:$AJ$41,13,FALSE)</f>
        <v>5</v>
      </c>
      <c r="O19" s="93"/>
      <c r="P19" s="167" t="s">
        <v>111</v>
      </c>
      <c r="Q19" s="168"/>
      <c r="R19" s="62">
        <v>12</v>
      </c>
      <c r="S19" s="26"/>
      <c r="T19" s="26"/>
      <c r="U19" s="20"/>
      <c r="V19" s="20"/>
      <c r="W19" s="20"/>
      <c r="X19" s="20"/>
      <c r="Y19" s="20"/>
      <c r="Z19" s="20"/>
      <c r="AA19" s="20"/>
      <c r="AB19" s="20"/>
    </row>
    <row r="20" spans="2:28" ht="15.65" customHeight="1" thickBot="1" x14ac:dyDescent="0.4">
      <c r="B20" s="60" t="str">
        <f>VLOOKUP(C20,Sheet1!$A$1:$B$93,2)</f>
        <v xml:space="preserve"> خمس و نصف</v>
      </c>
      <c r="C20" s="165">
        <f>VLOOKUP($U$7,'Nilai Syafahi'!$A$4:$Z$43,14,FALSE)</f>
        <v>5.5</v>
      </c>
      <c r="D20" s="166"/>
      <c r="E20" s="166"/>
      <c r="F20" s="166"/>
      <c r="G20" s="181" t="s">
        <v>89</v>
      </c>
      <c r="H20" s="182"/>
      <c r="I20" s="182"/>
      <c r="J20" s="182"/>
      <c r="K20" s="183"/>
      <c r="L20" s="84">
        <v>50</v>
      </c>
      <c r="M20" s="91" t="str">
        <f>VLOOKUP(N20,Sheet1!$A$1:$B$93,2)</f>
        <v xml:space="preserve"> سبع و نصف</v>
      </c>
      <c r="N20" s="68">
        <f>VLOOKUP($U$7,'Nilai Tahriri'!$A$2:$AJ$41,14,FALSE)</f>
        <v>7.5</v>
      </c>
      <c r="O20" s="93"/>
      <c r="P20" s="167" t="s">
        <v>112</v>
      </c>
      <c r="Q20" s="168"/>
      <c r="R20" s="62">
        <v>13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179" t="s">
        <v>140</v>
      </c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91" t="str">
        <f>VLOOKUP(N21,Sheet1!$A$1:$B$93,2)</f>
        <v xml:space="preserve"> اربع</v>
      </c>
      <c r="N21" s="68">
        <f>VLOOKUP($U$7,'Nilai Tahriri'!$A$2:$AJ$41,15,FALSE)</f>
        <v>4</v>
      </c>
      <c r="O21" s="93"/>
      <c r="P21" s="167" t="s">
        <v>10</v>
      </c>
      <c r="Q21" s="168"/>
      <c r="R21" s="62">
        <v>14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x14ac:dyDescent="0.35">
      <c r="B22" s="34" t="str">
        <f>VLOOKUP(C22,Sheet1!$A$1:$B$93,2)</f>
        <v xml:space="preserve"> ستّ</v>
      </c>
      <c r="C22" s="187">
        <f>VLOOKUP($U$7,'Nilai Syafahi'!$A$4:$Z$43,15,FALSE)</f>
        <v>6</v>
      </c>
      <c r="D22" s="187"/>
      <c r="E22" s="187"/>
      <c r="F22" s="187"/>
      <c r="G22" s="188" t="s">
        <v>182</v>
      </c>
      <c r="H22" s="189"/>
      <c r="I22" s="189"/>
      <c r="J22" s="189"/>
      <c r="K22" s="189"/>
      <c r="L22" s="85">
        <v>51</v>
      </c>
      <c r="M22" s="91" t="str">
        <f>VLOOKUP(N22,Sheet1!$A$1:$B$93,2)</f>
        <v xml:space="preserve"> اربع و نصف</v>
      </c>
      <c r="N22" s="68">
        <f>VLOOKUP($U$7,'Nilai Tahriri'!$A$2:$AJ$41,16,FALSE)</f>
        <v>4.5</v>
      </c>
      <c r="O22" s="93"/>
      <c r="P22" s="167" t="s">
        <v>12</v>
      </c>
      <c r="Q22" s="168">
        <v>12</v>
      </c>
      <c r="R22" s="62">
        <v>15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ستّ</v>
      </c>
      <c r="C23" s="187">
        <f>VLOOKUP($U$7,'Nilai Syafahi'!$A$4:$Z$43,16,FALSE)</f>
        <v>6</v>
      </c>
      <c r="D23" s="187"/>
      <c r="E23" s="187"/>
      <c r="F23" s="187"/>
      <c r="G23" s="186" t="s">
        <v>181</v>
      </c>
      <c r="H23" s="167"/>
      <c r="I23" s="167"/>
      <c r="J23" s="167"/>
      <c r="K23" s="167"/>
      <c r="L23" s="86">
        <v>52</v>
      </c>
      <c r="M23" s="91" t="str">
        <f>VLOOKUP(N23,Sheet1!$A$1:$B$93,2)</f>
        <v xml:space="preserve"> خمس</v>
      </c>
      <c r="N23" s="68">
        <f>VLOOKUP($U$7,'Nilai Tahriri'!$A$2:$AJ$41,17,FALSE)</f>
        <v>5</v>
      </c>
      <c r="O23" s="93"/>
      <c r="P23" s="167" t="s">
        <v>113</v>
      </c>
      <c r="Q23" s="168"/>
      <c r="R23" s="62">
        <v>16</v>
      </c>
      <c r="S23" s="26"/>
      <c r="T23" s="26"/>
      <c r="U23" s="20"/>
      <c r="V23" s="26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ستّ</v>
      </c>
      <c r="C24" s="187">
        <f>VLOOKUP($U$7,'Nilai Syafahi'!$A$4:$Z$43,17,FALSE)</f>
        <v>6</v>
      </c>
      <c r="D24" s="187"/>
      <c r="E24" s="187"/>
      <c r="F24" s="187"/>
      <c r="G24" s="186" t="s">
        <v>16</v>
      </c>
      <c r="H24" s="167"/>
      <c r="I24" s="167"/>
      <c r="J24" s="167"/>
      <c r="K24" s="167"/>
      <c r="L24" s="87">
        <v>53</v>
      </c>
      <c r="M24" s="91" t="str">
        <f>VLOOKUP(N24,Sheet1!$A$1:$B$93,2)</f>
        <v xml:space="preserve"> خمس</v>
      </c>
      <c r="N24" s="68">
        <f>VLOOKUP($U$7,'Nilai Tahriri'!$A$2:$AJ$41,18,FALSE)</f>
        <v>5</v>
      </c>
      <c r="O24" s="93"/>
      <c r="P24" s="167" t="s">
        <v>114</v>
      </c>
      <c r="Q24" s="168"/>
      <c r="R24" s="62">
        <v>17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خمس و نصف</v>
      </c>
      <c r="C25" s="187">
        <f>VLOOKUP($U$7,'Nilai Syafahi'!$A$4:$Z$43,18,FALSE)</f>
        <v>5.5</v>
      </c>
      <c r="D25" s="187"/>
      <c r="E25" s="187"/>
      <c r="F25" s="187"/>
      <c r="G25" s="186" t="s">
        <v>104</v>
      </c>
      <c r="H25" s="167"/>
      <c r="I25" s="167"/>
      <c r="J25" s="167"/>
      <c r="K25" s="167"/>
      <c r="L25" s="86">
        <v>54</v>
      </c>
      <c r="M25" s="91" t="str">
        <f>VLOOKUP(N25,Sheet1!$A$1:$B$93,2)</f>
        <v xml:space="preserve"> اربع</v>
      </c>
      <c r="N25" s="68">
        <f>VLOOKUP($U$7,'Nilai Tahriri'!$A$2:$AJ$41,19,FALSE)</f>
        <v>4</v>
      </c>
      <c r="O25" s="93"/>
      <c r="P25" s="167" t="s">
        <v>115</v>
      </c>
      <c r="Q25" s="168"/>
      <c r="R25" s="62">
        <v>18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87"/>
      <c r="D26" s="187"/>
      <c r="E26" s="187"/>
      <c r="F26" s="187"/>
      <c r="G26" s="263" t="s">
        <v>183</v>
      </c>
      <c r="H26" s="264"/>
      <c r="I26" s="264"/>
      <c r="J26" s="264"/>
      <c r="K26" s="63" t="s">
        <v>267</v>
      </c>
      <c r="L26" s="87">
        <v>55</v>
      </c>
      <c r="M26" s="91" t="str">
        <f>VLOOKUP(N26,Sheet1!$A$1:$B$93,2)</f>
        <v xml:space="preserve"> </v>
      </c>
      <c r="N26" s="68"/>
      <c r="O26" s="93"/>
      <c r="P26" s="167" t="s">
        <v>116</v>
      </c>
      <c r="Q26" s="168"/>
      <c r="R26" s="62">
        <v>19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thickBot="1" x14ac:dyDescent="0.4">
      <c r="B27" s="60" t="str">
        <f>VLOOKUP(C27,Sheet1!$A$1:$B$93,2)</f>
        <v xml:space="preserve"> خمس و نصف</v>
      </c>
      <c r="C27" s="227">
        <f>VLOOKUP($U$7,'Nilai Syafahi'!$A$4:$Z$43,19,FALSE)</f>
        <v>5.5</v>
      </c>
      <c r="D27" s="227"/>
      <c r="E27" s="227"/>
      <c r="F27" s="227"/>
      <c r="G27" s="186" t="s">
        <v>19</v>
      </c>
      <c r="H27" s="167"/>
      <c r="I27" s="167"/>
      <c r="J27" s="167"/>
      <c r="K27" s="167"/>
      <c r="L27" s="88">
        <v>56</v>
      </c>
      <c r="M27" s="91" t="str">
        <f>VLOOKUP(N27,Sheet1!$A$1:$B$93,2)</f>
        <v xml:space="preserve"> </v>
      </c>
      <c r="N27" s="68"/>
      <c r="O27" s="93"/>
      <c r="P27" s="167" t="s">
        <v>117</v>
      </c>
      <c r="Q27" s="168"/>
      <c r="R27" s="62">
        <v>20</v>
      </c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248" t="s">
        <v>141</v>
      </c>
      <c r="C28" s="249"/>
      <c r="D28" s="249"/>
      <c r="E28" s="249"/>
      <c r="F28" s="249"/>
      <c r="G28" s="249"/>
      <c r="H28" s="249"/>
      <c r="I28" s="249"/>
      <c r="J28" s="249"/>
      <c r="K28" s="249"/>
      <c r="L28" s="249"/>
      <c r="M28" s="91" t="str">
        <f>VLOOKUP(N28,Sheet1!$A$1:$B$93,2)</f>
        <v xml:space="preserve"> سبع</v>
      </c>
      <c r="N28" s="68">
        <f>VLOOKUP($U$7,'Nilai Tahriri'!$A$2:$AJ$41,20,FALSE)</f>
        <v>7</v>
      </c>
      <c r="O28" s="93"/>
      <c r="P28" s="167" t="s">
        <v>118</v>
      </c>
      <c r="Q28" s="168"/>
      <c r="R28" s="62">
        <v>21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x14ac:dyDescent="0.35">
      <c r="B29" s="35"/>
      <c r="C29" s="187"/>
      <c r="D29" s="187"/>
      <c r="E29" s="187"/>
      <c r="F29" s="187"/>
      <c r="G29" s="171" t="s">
        <v>21</v>
      </c>
      <c r="H29" s="172"/>
      <c r="I29" s="172"/>
      <c r="J29" s="172"/>
      <c r="K29" s="173"/>
      <c r="L29" s="89">
        <v>57</v>
      </c>
      <c r="M29" s="91" t="str">
        <f>VLOOKUP(N29,Sheet1!$A$1:$B$93,2)</f>
        <v xml:space="preserve"> ستّ</v>
      </c>
      <c r="N29" s="68">
        <f>VLOOKUP($U$7,'Nilai Tahriri'!$A$2:$AJ$41,21,FALSE)</f>
        <v>6</v>
      </c>
      <c r="O29" s="93"/>
      <c r="P29" s="167" t="s">
        <v>119</v>
      </c>
      <c r="Q29" s="168"/>
      <c r="R29" s="62">
        <v>22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 t="str">
        <f>VLOOKUP(C30,Sheet1!$A$1:$B$93,2)</f>
        <v xml:space="preserve"> </v>
      </c>
      <c r="C30" s="187"/>
      <c r="D30" s="187"/>
      <c r="E30" s="187"/>
      <c r="F30" s="187"/>
      <c r="G30" s="186" t="s">
        <v>22</v>
      </c>
      <c r="H30" s="167"/>
      <c r="I30" s="167"/>
      <c r="J30" s="167"/>
      <c r="K30" s="168"/>
      <c r="L30" s="86">
        <v>58</v>
      </c>
      <c r="M30" s="91" t="str">
        <f>VLOOKUP(N30,Sheet1!$A$1:$B$93,2)</f>
        <v xml:space="preserve"> </v>
      </c>
      <c r="N30" s="68">
        <f>VLOOKUP($U$7,'Nilai Tahriri'!$A$2:$AJ$41,22,FALSE)</f>
        <v>0</v>
      </c>
      <c r="O30" s="93"/>
      <c r="P30" s="167" t="s">
        <v>120</v>
      </c>
      <c r="Q30" s="168"/>
      <c r="R30" s="62">
        <v>23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61" t="str">
        <f>VLOOKUP(C31,Sheet1!$A$1:$B$93,2)</f>
        <v xml:space="preserve"> </v>
      </c>
      <c r="C31" s="224"/>
      <c r="D31" s="224"/>
      <c r="E31" s="224"/>
      <c r="F31" s="224"/>
      <c r="G31" s="186" t="s">
        <v>24</v>
      </c>
      <c r="H31" s="167"/>
      <c r="I31" s="167"/>
      <c r="J31" s="167"/>
      <c r="K31" s="168"/>
      <c r="L31" s="89">
        <v>59</v>
      </c>
      <c r="M31" s="91" t="str">
        <f>VLOOKUP(N31,Sheet1!$A$1:$B$93,2)</f>
        <v xml:space="preserve"> </v>
      </c>
      <c r="N31" s="68"/>
      <c r="O31" s="93"/>
      <c r="P31" s="167" t="s">
        <v>28</v>
      </c>
      <c r="Q31" s="168"/>
      <c r="R31" s="62">
        <v>24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thickBot="1" x14ac:dyDescent="0.4">
      <c r="B32" s="61" t="str">
        <f>VLOOKUP(C32,Sheet1!$A$1:$B$93,2)</f>
        <v xml:space="preserve"> </v>
      </c>
      <c r="C32" s="224"/>
      <c r="D32" s="224"/>
      <c r="E32" s="224"/>
      <c r="F32" s="224"/>
      <c r="G32" s="260" t="s">
        <v>25</v>
      </c>
      <c r="H32" s="261"/>
      <c r="I32" s="261"/>
      <c r="J32" s="261"/>
      <c r="K32" s="262"/>
      <c r="L32" s="86">
        <v>60</v>
      </c>
      <c r="M32" s="91" t="str">
        <f>VLOOKUP(N32,Sheet1!$A$1:$B$93,2)</f>
        <v xml:space="preserve"> ثمان</v>
      </c>
      <c r="N32" s="68">
        <f>VLOOKUP($U$7,'Nilai Tahriri'!$A$2:$AJ$41,23,FALSE)</f>
        <v>8</v>
      </c>
      <c r="O32" s="93"/>
      <c r="P32" s="167" t="s">
        <v>121</v>
      </c>
      <c r="Q32" s="168"/>
      <c r="R32" s="62">
        <v>25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231">
        <f>VLOOKUP($U$7,'Nilai Syafahi'!$A$4:$Z$43,20,FALSE)</f>
        <v>91</v>
      </c>
      <c r="C33" s="232"/>
      <c r="D33" s="232"/>
      <c r="E33" s="232"/>
      <c r="F33" s="232"/>
      <c r="G33" s="232"/>
      <c r="H33" s="232"/>
      <c r="I33" s="232"/>
      <c r="J33" s="232"/>
      <c r="K33" s="233" t="s">
        <v>27</v>
      </c>
      <c r="L33" s="234"/>
      <c r="M33" s="91" t="str">
        <f>VLOOKUP(N33,Sheet1!$A$1:$B$93,2)</f>
        <v xml:space="preserve"> سبع</v>
      </c>
      <c r="N33" s="68">
        <f>VLOOKUP($U$7,'Nilai Tahriri'!$A$2:$AJ$41,24,FALSE)</f>
        <v>7</v>
      </c>
      <c r="O33" s="93"/>
      <c r="P33" s="167" t="s">
        <v>122</v>
      </c>
      <c r="Q33" s="168"/>
      <c r="R33" s="62">
        <v>26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7.149999999999999" customHeight="1" thickBot="1" x14ac:dyDescent="0.4">
      <c r="B34" s="244"/>
      <c r="C34" s="245"/>
      <c r="D34" s="245"/>
      <c r="E34" s="245"/>
      <c r="F34" s="245"/>
      <c r="G34" s="245"/>
      <c r="H34" s="245"/>
      <c r="I34" s="245"/>
      <c r="J34" s="245"/>
      <c r="K34" s="246"/>
      <c r="L34" s="195"/>
      <c r="M34" s="91" t="str">
        <f>VLOOKUP(N34,Sheet1!$A$1:$B$93,2)</f>
        <v xml:space="preserve"> سبع و نصف</v>
      </c>
      <c r="N34" s="95">
        <f>VLOOKUP($U$7,'Nilai Tahriri'!$A$2:$AJ$41,25,FALSE)</f>
        <v>7.5</v>
      </c>
      <c r="O34" s="98" t="s">
        <v>139</v>
      </c>
      <c r="P34" s="167" t="s">
        <v>123</v>
      </c>
      <c r="Q34" s="168"/>
      <c r="R34" s="96">
        <v>27</v>
      </c>
      <c r="S34" s="20"/>
      <c r="T34" s="20"/>
      <c r="U34" s="94"/>
      <c r="V34" s="20"/>
      <c r="W34" s="20"/>
      <c r="X34" s="20"/>
      <c r="Y34" s="20"/>
      <c r="Z34" s="20"/>
      <c r="AA34" s="20"/>
      <c r="AB34" s="20"/>
    </row>
    <row r="35" spans="2:28" ht="15.65" customHeight="1" thickBot="1" x14ac:dyDescent="0.4">
      <c r="B35" s="228" t="s">
        <v>31</v>
      </c>
      <c r="C35" s="229"/>
      <c r="D35" s="229"/>
      <c r="E35" s="229"/>
      <c r="F35" s="229"/>
      <c r="G35" s="229"/>
      <c r="H35" s="229"/>
      <c r="I35" s="229"/>
      <c r="J35" s="229"/>
      <c r="K35" s="230"/>
      <c r="L35" s="196"/>
      <c r="M35" s="91" t="str">
        <f>VLOOKUP(N35,Sheet1!$A$1:$B$93,2)</f>
        <v xml:space="preserve"> سبع و نصف</v>
      </c>
      <c r="N35" s="68">
        <f>VLOOKUP($U$7,'Nilai Tahriri'!$A$2:$AJ$41,26,FALSE)</f>
        <v>7.5</v>
      </c>
      <c r="O35" s="98" t="s">
        <v>137</v>
      </c>
      <c r="P35" s="167" t="s">
        <v>124</v>
      </c>
      <c r="Q35" s="168"/>
      <c r="R35" s="62">
        <v>28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x14ac:dyDescent="0.35">
      <c r="B36" s="199" t="s">
        <v>32</v>
      </c>
      <c r="C36" s="200"/>
      <c r="D36" s="200" t="s">
        <v>33</v>
      </c>
      <c r="E36" s="200"/>
      <c r="F36" s="200"/>
      <c r="G36" s="200"/>
      <c r="H36" s="200"/>
      <c r="I36" s="200"/>
      <c r="J36" s="200"/>
      <c r="K36" s="36" t="s">
        <v>34</v>
      </c>
      <c r="L36" s="196"/>
      <c r="M36" s="91" t="str">
        <f>VLOOKUP(N36,Sheet1!$A$1:$B$93,2)</f>
        <v xml:space="preserve"> </v>
      </c>
      <c r="N36" s="68">
        <f>VLOOKUP($U$7,'Nilai Tahriri'!$A$2:$AJ$41,27,FALSE)</f>
        <v>0</v>
      </c>
      <c r="O36" s="98" t="s">
        <v>138</v>
      </c>
      <c r="P36" s="167" t="s">
        <v>125</v>
      </c>
      <c r="Q36" s="168"/>
      <c r="R36" s="62">
        <v>29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thickBot="1" x14ac:dyDescent="0.4">
      <c r="B37" s="235">
        <f>VLOOKUP($U$7,Akhlak!$A$4:$J$43,6,FALSE)</f>
        <v>8</v>
      </c>
      <c r="C37" s="236"/>
      <c r="D37" s="236">
        <f>VLOOKUP($U$7,Akhlak!$A$4:$J$43,5,FALSE)</f>
        <v>8</v>
      </c>
      <c r="E37" s="236"/>
      <c r="F37" s="236"/>
      <c r="G37" s="236"/>
      <c r="H37" s="236"/>
      <c r="I37" s="236"/>
      <c r="J37" s="236"/>
      <c r="K37" s="37">
        <f>VLOOKUP($U$7,Akhlak!$A$4:$J$43,4,FALSE)</f>
        <v>8</v>
      </c>
      <c r="L37" s="196"/>
      <c r="M37" s="91" t="str">
        <f>VLOOKUP(N37,Sheet1!$A$1:$B$93,2)</f>
        <v xml:space="preserve"> </v>
      </c>
      <c r="N37" s="68">
        <f>VLOOKUP($U$7,'Nilai Tahriri'!$A$2:$AJ$41,28,FALSE)</f>
        <v>0</v>
      </c>
      <c r="O37" s="98" t="s">
        <v>36</v>
      </c>
      <c r="P37" s="167" t="s">
        <v>126</v>
      </c>
      <c r="Q37" s="168"/>
      <c r="R37" s="62">
        <v>30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01" t="s">
        <v>35</v>
      </c>
      <c r="C38" s="202"/>
      <c r="D38" s="202"/>
      <c r="E38" s="202"/>
      <c r="F38" s="202"/>
      <c r="G38" s="202"/>
      <c r="H38" s="202"/>
      <c r="I38" s="202"/>
      <c r="J38" s="202"/>
      <c r="K38" s="203"/>
      <c r="L38" s="196"/>
      <c r="M38" s="91" t="str">
        <f>VLOOKUP(N38,Sheet1!$A$1:$B$93,2)</f>
        <v xml:space="preserve"> </v>
      </c>
      <c r="N38" s="68">
        <f>VLOOKUP($U$7,'Nilai Tahriri'!$A$2:$AJ$41,29,FALSE)</f>
        <v>0</v>
      </c>
      <c r="O38" s="98" t="s">
        <v>40</v>
      </c>
      <c r="P38" s="167" t="s">
        <v>127</v>
      </c>
      <c r="Q38" s="168"/>
      <c r="R38" s="62">
        <v>31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x14ac:dyDescent="0.35">
      <c r="B39" s="204" t="s">
        <v>37</v>
      </c>
      <c r="C39" s="205"/>
      <c r="D39" s="205" t="s">
        <v>38</v>
      </c>
      <c r="E39" s="205"/>
      <c r="F39" s="205"/>
      <c r="G39" s="205"/>
      <c r="H39" s="205"/>
      <c r="I39" s="205"/>
      <c r="J39" s="205"/>
      <c r="K39" s="36" t="s">
        <v>39</v>
      </c>
      <c r="L39" s="196"/>
      <c r="M39" s="91" t="str">
        <f>VLOOKUP(N39,Sheet1!$A$1:$B$93,2)</f>
        <v xml:space="preserve"> </v>
      </c>
      <c r="N39" s="68">
        <f>VLOOKUP($U$7,'Nilai Tahriri'!$A$2:$AJ$41,30,FALSE)</f>
        <v>0</v>
      </c>
      <c r="O39" s="98" t="s">
        <v>43</v>
      </c>
      <c r="P39" s="167" t="s">
        <v>128</v>
      </c>
      <c r="Q39" s="168"/>
      <c r="R39" s="62">
        <v>32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thickBot="1" x14ac:dyDescent="0.4">
      <c r="B40" s="225" t="str">
        <f>VLOOKUP($U$7,Akhlak!$A$4:$J$43,9,FALSE)</f>
        <v>-</v>
      </c>
      <c r="C40" s="226"/>
      <c r="D40" s="226">
        <f>VLOOKUP($U$7,Akhlak!$A$4:$J$43,8,FALSE)</f>
        <v>3</v>
      </c>
      <c r="E40" s="226"/>
      <c r="F40" s="226"/>
      <c r="G40" s="226"/>
      <c r="H40" s="226"/>
      <c r="I40" s="226"/>
      <c r="J40" s="226"/>
      <c r="K40" s="37" t="str">
        <f>VLOOKUP($U$7,Akhlak!$A$4:$J$43,7,FALSE)</f>
        <v>-</v>
      </c>
      <c r="L40" s="196"/>
      <c r="M40" s="91" t="str">
        <f>VLOOKUP(N40,Sheet1!$A$1:$B$93,2)</f>
        <v xml:space="preserve"> </v>
      </c>
      <c r="N40" s="68"/>
      <c r="O40" s="98" t="s">
        <v>44</v>
      </c>
      <c r="P40" s="167" t="s">
        <v>129</v>
      </c>
      <c r="Q40" s="168"/>
      <c r="R40" s="62">
        <v>33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222" t="s">
        <v>41</v>
      </c>
      <c r="C41" s="223"/>
      <c r="D41" s="206" t="s">
        <v>42</v>
      </c>
      <c r="E41" s="206"/>
      <c r="F41" s="206"/>
      <c r="G41" s="206"/>
      <c r="H41" s="206"/>
      <c r="I41" s="206"/>
      <c r="J41" s="206"/>
      <c r="K41" s="207"/>
      <c r="L41" s="197"/>
      <c r="M41" s="91" t="str">
        <f>VLOOKUP(N41,Sheet1!$A$1:$B$93,2)</f>
        <v xml:space="preserve"> </v>
      </c>
      <c r="N41" s="68"/>
      <c r="O41" s="98" t="s">
        <v>46</v>
      </c>
      <c r="P41" s="167" t="s">
        <v>130</v>
      </c>
      <c r="Q41" s="168"/>
      <c r="R41" s="62">
        <v>34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x14ac:dyDescent="0.35">
      <c r="B42" s="216">
        <f ca="1">VLOOKUP($U$7,'Nilai Syafahi'!$A$4:$Z$43,25,FALSE)</f>
        <v>27</v>
      </c>
      <c r="C42" s="217"/>
      <c r="D42" s="210">
        <f>VLOOKUP($U$7,'Nilai Syafahi'!$A$4:$Z$43,24,FALSE)</f>
        <v>5.8452380952380949</v>
      </c>
      <c r="E42" s="211"/>
      <c r="F42" s="211"/>
      <c r="G42" s="211"/>
      <c r="H42" s="211"/>
      <c r="I42" s="211"/>
      <c r="J42" s="212"/>
      <c r="K42" s="208">
        <f>VLOOKUP($U$7,'Nilai Syafahi'!$A$4:$Z$43,23,FALSE)</f>
        <v>245.5</v>
      </c>
      <c r="L42" s="196"/>
      <c r="M42" s="91" t="str">
        <f>VLOOKUP(N42,Sheet1!$A$1:$B$93,2)</f>
        <v xml:space="preserve"> </v>
      </c>
      <c r="N42" s="68"/>
      <c r="O42" s="98" t="s">
        <v>47</v>
      </c>
      <c r="P42" s="167" t="s">
        <v>131</v>
      </c>
      <c r="Q42" s="168"/>
      <c r="R42" s="62">
        <v>35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thickBot="1" x14ac:dyDescent="0.4">
      <c r="B43" s="218"/>
      <c r="C43" s="219"/>
      <c r="D43" s="213"/>
      <c r="E43" s="214"/>
      <c r="F43" s="214"/>
      <c r="G43" s="214"/>
      <c r="H43" s="214"/>
      <c r="I43" s="214"/>
      <c r="J43" s="215"/>
      <c r="K43" s="209"/>
      <c r="L43" s="196"/>
      <c r="M43" s="91" t="str">
        <f>VLOOKUP(N43,Sheet1!$A$1:$B$93,2)</f>
        <v xml:space="preserve"> ثمان</v>
      </c>
      <c r="N43" s="68">
        <f>VLOOKUP($U$7,'Nilai Tahriri'!$A$2:$AJ$41,34,FALSE)</f>
        <v>8</v>
      </c>
      <c r="O43" s="98" t="s">
        <v>135</v>
      </c>
      <c r="P43" s="167" t="s">
        <v>132</v>
      </c>
      <c r="Q43" s="168"/>
      <c r="R43" s="62">
        <v>36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42" t="s">
        <v>45</v>
      </c>
      <c r="C44" s="243"/>
      <c r="D44" s="243"/>
      <c r="E44" s="243"/>
      <c r="F44" s="243"/>
      <c r="G44" s="243"/>
      <c r="H44" s="243"/>
      <c r="I44" s="243"/>
      <c r="J44" s="243"/>
      <c r="K44" s="243"/>
      <c r="L44" s="196"/>
      <c r="M44" s="91" t="str">
        <f>VLOOKUP(N44,Sheet1!$A$1:$B$93,2)</f>
        <v xml:space="preserve"> خمس و نصف</v>
      </c>
      <c r="N44" s="68">
        <f>VLOOKUP($U$7,'Nilai Tahriri'!$A$2:$AJ$41,35,FALSE)</f>
        <v>5.5</v>
      </c>
      <c r="O44" s="98" t="s">
        <v>92</v>
      </c>
      <c r="P44" s="167" t="s">
        <v>133</v>
      </c>
      <c r="Q44" s="168"/>
      <c r="R44" s="62">
        <v>37</v>
      </c>
      <c r="S44" s="20"/>
      <c r="T44" s="20"/>
      <c r="U44" s="20"/>
      <c r="V44" s="220"/>
      <c r="W44" s="220"/>
      <c r="X44" s="220"/>
      <c r="Y44" s="20"/>
      <c r="Z44" s="20"/>
      <c r="AA44" s="20"/>
      <c r="AB44" s="20"/>
    </row>
    <row r="45" spans="2:28" ht="15.65" customHeight="1" x14ac:dyDescent="0.35">
      <c r="B45" s="237" t="str">
        <f>VLOOKUP($U$7,Akhlak!$A$4:$J$43,10,FALSE)</f>
        <v>-</v>
      </c>
      <c r="C45" s="238"/>
      <c r="D45" s="238"/>
      <c r="E45" s="238"/>
      <c r="F45" s="238"/>
      <c r="G45" s="238"/>
      <c r="H45" s="238"/>
      <c r="I45" s="238"/>
      <c r="J45" s="238"/>
      <c r="K45" s="239"/>
      <c r="L45" s="196"/>
      <c r="M45" s="91" t="str">
        <f>VLOOKUP(N45,Sheet1!$A$1:$B$93,2)</f>
        <v xml:space="preserve"> </v>
      </c>
      <c r="N45" s="68"/>
      <c r="O45" s="98" t="s">
        <v>48</v>
      </c>
      <c r="P45" s="167" t="s">
        <v>134</v>
      </c>
      <c r="Q45" s="168"/>
      <c r="R45" s="62">
        <v>38</v>
      </c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2:28" ht="15.65" customHeight="1" thickBot="1" x14ac:dyDescent="0.4">
      <c r="B46" s="240"/>
      <c r="C46" s="178"/>
      <c r="D46" s="178"/>
      <c r="E46" s="178"/>
      <c r="F46" s="178"/>
      <c r="G46" s="178"/>
      <c r="H46" s="178"/>
      <c r="I46" s="178"/>
      <c r="J46" s="178"/>
      <c r="K46" s="241"/>
      <c r="L46" s="196"/>
      <c r="M46" s="92" t="str">
        <f>VLOOKUP(N46,Sheet1!$A$1:$B$93,2)</f>
        <v xml:space="preserve"> </v>
      </c>
      <c r="N46" s="69"/>
      <c r="O46" s="98" t="s">
        <v>136</v>
      </c>
      <c r="P46" s="167" t="s">
        <v>53</v>
      </c>
      <c r="Q46" s="168"/>
      <c r="R46" s="82">
        <v>39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8.399999999999999" customHeight="1" thickBot="1" x14ac:dyDescent="0.4">
      <c r="B47" s="255" t="s">
        <v>281</v>
      </c>
      <c r="C47" s="256"/>
      <c r="D47" s="256"/>
      <c r="E47" s="256"/>
      <c r="F47" s="256"/>
      <c r="G47" s="256"/>
      <c r="H47" s="256"/>
      <c r="I47" s="256"/>
      <c r="J47" s="256"/>
      <c r="K47" s="79" t="s">
        <v>184</v>
      </c>
      <c r="L47" s="198"/>
      <c r="M47" s="257">
        <f>VLOOKUP($U$7,'Nilai Tahriri'!$A$2:$AJ$41,36,FALSE)</f>
        <v>154.5</v>
      </c>
      <c r="N47" s="258" t="e">
        <f>VLOOKUP($U$7,'Nilai Tahriri'!$A$2:$AJ$41,41,FALSE)</f>
        <v>#REF!</v>
      </c>
      <c r="O47" s="258" t="e">
        <f>VLOOKUP($U$7,'Nilai Tahriri'!$A$2:$AJ$41,41,FALSE)</f>
        <v>#REF!</v>
      </c>
      <c r="P47" s="191" t="s">
        <v>27</v>
      </c>
      <c r="Q47" s="191"/>
      <c r="R47" s="192"/>
      <c r="S47" s="20"/>
      <c r="T47" s="20"/>
      <c r="U47" s="20"/>
      <c r="V47" s="20"/>
      <c r="W47" s="20"/>
      <c r="X47" s="20"/>
      <c r="Y47" s="20"/>
      <c r="Z47" s="221"/>
      <c r="AA47" s="221"/>
      <c r="AB47" s="221"/>
    </row>
    <row r="48" spans="2:28" ht="8.25" customHeight="1" x14ac:dyDescent="0.35"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9"/>
      <c r="M48" s="40"/>
      <c r="N48" s="41"/>
      <c r="O48" s="42"/>
      <c r="P48" s="43"/>
      <c r="Q48" s="43"/>
      <c r="R48" s="43"/>
      <c r="S48" s="20"/>
      <c r="T48" s="20"/>
      <c r="U48" s="20"/>
      <c r="V48" s="20"/>
      <c r="W48" s="20"/>
      <c r="X48" s="20"/>
      <c r="Y48" s="20"/>
      <c r="Z48" s="20"/>
      <c r="AA48" s="20"/>
      <c r="AB48" s="20"/>
    </row>
    <row r="49" spans="2:28" ht="18.25" customHeight="1" x14ac:dyDescent="0.35">
      <c r="B49" s="44"/>
      <c r="C49" s="193"/>
      <c r="D49" s="193"/>
      <c r="E49" s="193"/>
      <c r="F49" s="193"/>
      <c r="G49" s="193"/>
      <c r="H49" s="193"/>
      <c r="I49" s="193"/>
      <c r="J49" s="193"/>
      <c r="K49" s="193"/>
      <c r="L49" s="45"/>
      <c r="M49" s="190" t="str">
        <f>Biodata!C13</f>
        <v>٠٩ من جمادى الآخر سنة ١٤٤٥ ه</v>
      </c>
      <c r="N49" s="190"/>
      <c r="O49" s="190"/>
      <c r="P49" s="190"/>
      <c r="Q49" s="194" t="s">
        <v>49</v>
      </c>
      <c r="R49" s="194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193"/>
      <c r="D50" s="193"/>
      <c r="E50" s="193"/>
      <c r="F50" s="193"/>
      <c r="G50" s="193"/>
      <c r="H50" s="193"/>
      <c r="I50" s="193"/>
      <c r="J50" s="193"/>
      <c r="K50" s="193"/>
      <c r="L50" s="45"/>
      <c r="M50" s="190" t="str">
        <f>Biodata!C14</f>
        <v>٢٢ من ديسمبر سنة ٢٠٢٣ م</v>
      </c>
      <c r="N50" s="190"/>
      <c r="O50" s="190"/>
      <c r="P50" s="190"/>
      <c r="Q50" s="194"/>
      <c r="R50" s="194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46"/>
      <c r="D51" s="46"/>
      <c r="E51" s="46"/>
      <c r="F51" s="46"/>
      <c r="G51" s="46"/>
      <c r="H51" s="46"/>
      <c r="I51" s="46"/>
      <c r="J51" s="46"/>
      <c r="K51" s="46"/>
      <c r="L51" s="47"/>
      <c r="M51" s="46"/>
      <c r="N51" s="48"/>
      <c r="O51" s="46"/>
      <c r="P51" s="46"/>
      <c r="Q51" s="46" t="s">
        <v>50</v>
      </c>
      <c r="R51" s="46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251" t="s">
        <v>51</v>
      </c>
      <c r="C52" s="251"/>
      <c r="D52" s="251"/>
      <c r="E52" s="251"/>
      <c r="F52" s="251"/>
      <c r="G52" s="251"/>
      <c r="H52" s="251"/>
      <c r="I52" s="251"/>
      <c r="J52" s="251"/>
      <c r="K52" s="251"/>
      <c r="L52" s="45"/>
      <c r="M52" s="44"/>
      <c r="N52" s="49"/>
      <c r="O52" s="250" t="s">
        <v>52</v>
      </c>
      <c r="P52" s="250"/>
      <c r="Q52" s="250"/>
      <c r="R52" s="44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50"/>
      <c r="C53" s="50"/>
      <c r="D53" s="50"/>
      <c r="E53" s="50"/>
      <c r="F53" s="50"/>
      <c r="G53" s="50"/>
      <c r="H53" s="50"/>
      <c r="I53" s="50"/>
      <c r="J53" s="50"/>
      <c r="K53" s="158" t="s">
        <v>161</v>
      </c>
      <c r="L53" s="158"/>
      <c r="M53" s="158"/>
      <c r="N53" s="158"/>
      <c r="O53" s="158"/>
      <c r="P53" s="45"/>
      <c r="Q53" s="45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50"/>
      <c r="O54" s="45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45"/>
      <c r="M55" s="44"/>
      <c r="N55" s="49"/>
      <c r="O55" s="252" t="str">
        <f>Biodata!$C$19</f>
        <v xml:space="preserve"> الأستاذ سيف العلوي</v>
      </c>
      <c r="P55" s="252"/>
      <c r="Q55" s="252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45"/>
      <c r="M56" s="44"/>
      <c r="N56" s="49"/>
      <c r="O56" s="51"/>
      <c r="P56" s="51"/>
      <c r="Q56" s="51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44"/>
      <c r="C57" s="52"/>
      <c r="D57" s="52"/>
      <c r="E57" s="52"/>
      <c r="F57" s="52"/>
      <c r="G57" s="52"/>
      <c r="H57" s="52"/>
      <c r="I57" s="52"/>
      <c r="J57" s="52"/>
      <c r="K57" s="247" t="str">
        <f>Biodata!$C$16</f>
        <v>الأستاذ شهاب المعي</v>
      </c>
      <c r="L57" s="247"/>
      <c r="M57" s="247"/>
      <c r="N57" s="247"/>
      <c r="O57" s="247"/>
      <c r="P57" s="52"/>
      <c r="Q57" s="52"/>
      <c r="R57" s="52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hidden="1" customHeight="1" x14ac:dyDescent="0.35">
      <c r="B58" s="53"/>
      <c r="C58" s="53"/>
      <c r="D58" s="53"/>
      <c r="E58" s="53"/>
      <c r="F58" s="53"/>
      <c r="G58" s="53"/>
      <c r="H58" s="53"/>
      <c r="I58" s="53"/>
      <c r="J58" s="53"/>
      <c r="L58" s="53"/>
      <c r="M58" s="53"/>
      <c r="N58" s="53"/>
      <c r="O58" s="53"/>
      <c r="P58" s="53"/>
      <c r="Q58" s="53"/>
      <c r="R58" s="53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5.5" hidden="1" x14ac:dyDescent="0.3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9"/>
      <c r="M59" s="28"/>
      <c r="N59" s="30"/>
      <c r="O59" s="28"/>
      <c r="P59" s="28"/>
      <c r="Q59" s="28"/>
      <c r="R59" s="28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idden="1" x14ac:dyDescent="0.35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7"/>
      <c r="M60" s="20"/>
      <c r="N60" s="22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</row>
  </sheetData>
  <sheetProtection algorithmName="SHA-512" hashValue="yV/WNHRRjpwSzKuKQKCYnFEGp9HXlTfNoTcf8oHkIxSJK+LPyd4G21HlRgJ8GJNP5zwyoJUZ2BipqC1zqRZpaw==" saltValue="9FNb32XMnzMgVgnV43WuIA==" spinCount="100000" sheet="1" selectLockedCells="1"/>
  <mergeCells count="142"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</mergeCells>
  <pageMargins left="7.95717592592593E-2" right="4.3402777777777797E-2" top="9.9206349206349201E-2" bottom="0.19345238095238096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2"/>
  <dimension ref="A1:G51"/>
  <sheetViews>
    <sheetView tabSelected="1" view="pageLayout" zoomScale="60" zoomScaleNormal="100" zoomScalePageLayoutView="60" workbookViewId="0">
      <selection activeCell="A6" sqref="A6:F16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5" t="s">
        <v>173</v>
      </c>
      <c r="B1" s="265"/>
      <c r="C1" s="265"/>
      <c r="D1" s="265"/>
      <c r="E1" s="265"/>
      <c r="F1" s="265"/>
      <c r="G1" s="265"/>
    </row>
    <row r="2" spans="1:7" ht="6" customHeight="1" x14ac:dyDescent="0.35">
      <c r="A2" s="103"/>
      <c r="B2" s="107"/>
      <c r="C2" s="103"/>
      <c r="D2" s="103"/>
      <c r="E2" s="103"/>
      <c r="F2" s="103"/>
      <c r="G2" s="103"/>
    </row>
    <row r="3" spans="1:7" ht="17.5" x14ac:dyDescent="0.35">
      <c r="A3" s="266" t="str">
        <f>Biodata!C4</f>
        <v>الخامس د للبنات</v>
      </c>
      <c r="B3" s="266"/>
      <c r="C3" s="266"/>
      <c r="D3" s="266"/>
      <c r="E3" s="266"/>
      <c r="F3" s="266"/>
      <c r="G3" s="266"/>
    </row>
    <row r="5" spans="1:7" ht="22" customHeight="1" x14ac:dyDescent="0.35">
      <c r="A5" s="108" t="s">
        <v>76</v>
      </c>
      <c r="B5" s="108" t="s">
        <v>168</v>
      </c>
      <c r="C5" s="108" t="s">
        <v>54</v>
      </c>
      <c r="D5" s="108" t="s">
        <v>78</v>
      </c>
      <c r="E5" s="108" t="s">
        <v>171</v>
      </c>
      <c r="F5" s="108" t="s">
        <v>172</v>
      </c>
      <c r="G5" s="108" t="s">
        <v>170</v>
      </c>
    </row>
    <row r="6" spans="1:7" ht="18" customHeight="1" x14ac:dyDescent="0.35">
      <c r="A6" s="6">
        <v>1</v>
      </c>
      <c r="B6" s="112" t="str">
        <f>'Data Siswa'!B9</f>
        <v>DEWI AMELLIA</v>
      </c>
      <c r="C6" s="6" t="str">
        <f>'Data Siswa'!C9</f>
        <v>1211</v>
      </c>
      <c r="D6" s="7">
        <f>'Nilai Syafahi'!W11</f>
        <v>297</v>
      </c>
      <c r="E6" s="115">
        <f>'Nilai Syafahi'!X11</f>
        <v>6.6</v>
      </c>
      <c r="F6" s="114">
        <f ca="1">'Nilai Syafahi'!Y11</f>
        <v>1</v>
      </c>
      <c r="G6" s="7" t="str">
        <f>'Nilai Syafahi'!Z11</f>
        <v>-</v>
      </c>
    </row>
    <row r="7" spans="1:7" ht="18" customHeight="1" x14ac:dyDescent="0.35">
      <c r="A7" s="6">
        <v>2</v>
      </c>
      <c r="B7" s="112" t="str">
        <f>'Data Siswa'!B20</f>
        <v>MEIRIN NUR SANDRILA</v>
      </c>
      <c r="C7" s="6" t="str">
        <f>'Data Siswa'!C20</f>
        <v>1222</v>
      </c>
      <c r="D7" s="7">
        <f>'Nilai Syafahi'!W22</f>
        <v>296.5</v>
      </c>
      <c r="E7" s="115">
        <f>'Nilai Syafahi'!X22</f>
        <v>6.5888888888888886</v>
      </c>
      <c r="F7" s="114">
        <f ca="1">'Nilai Syafahi'!Y22</f>
        <v>2</v>
      </c>
      <c r="G7" s="7" t="str">
        <f>'Nilai Syafahi'!Z22</f>
        <v>-</v>
      </c>
    </row>
    <row r="8" spans="1:7" ht="18" customHeight="1" x14ac:dyDescent="0.35">
      <c r="A8" s="6">
        <v>3</v>
      </c>
      <c r="B8" s="112" t="str">
        <f>'Data Siswa'!B33</f>
        <v>TIA FATHATUL MUTHOHAROH</v>
      </c>
      <c r="C8" s="6" t="str">
        <f>'Data Siswa'!C33</f>
        <v>1235</v>
      </c>
      <c r="D8" s="7">
        <f>'Nilai Syafahi'!W35</f>
        <v>295</v>
      </c>
      <c r="E8" s="115">
        <f>'Nilai Syafahi'!X35</f>
        <v>6.5555555555555554</v>
      </c>
      <c r="F8" s="114">
        <f ca="1">'Nilai Syafahi'!Y35</f>
        <v>3</v>
      </c>
      <c r="G8" s="7" t="str">
        <f>'Nilai Syafahi'!Z35</f>
        <v>-</v>
      </c>
    </row>
    <row r="9" spans="1:7" ht="18" customHeight="1" x14ac:dyDescent="0.35">
      <c r="A9" s="6">
        <v>4</v>
      </c>
      <c r="B9" s="112" t="str">
        <f>'Data Siswa'!B30</f>
        <v>SALIS FIJRIYANI</v>
      </c>
      <c r="C9" s="6" t="str">
        <f>'Data Siswa'!C30</f>
        <v>1232</v>
      </c>
      <c r="D9" s="7">
        <f>'Nilai Syafahi'!W32</f>
        <v>294</v>
      </c>
      <c r="E9" s="115">
        <f>'Nilai Syafahi'!X32</f>
        <v>6.5333333333333332</v>
      </c>
      <c r="F9" s="114">
        <f ca="1">'Nilai Syafahi'!Y32</f>
        <v>4</v>
      </c>
      <c r="G9" s="7" t="str">
        <f>'Nilai Syafahi'!Z32</f>
        <v>-</v>
      </c>
    </row>
    <row r="10" spans="1:7" ht="18" customHeight="1" x14ac:dyDescent="0.35">
      <c r="A10" s="6">
        <v>5</v>
      </c>
      <c r="B10" s="112" t="str">
        <f>'Data Siswa'!B3</f>
        <v>ALINTRI SIFFA MULYANA</v>
      </c>
      <c r="C10" s="6" t="str">
        <f>'Data Siswa'!C3</f>
        <v>1205</v>
      </c>
      <c r="D10" s="7">
        <f>'Nilai Syafahi'!W5</f>
        <v>286.5</v>
      </c>
      <c r="E10" s="115">
        <f>'Nilai Syafahi'!X5</f>
        <v>6.3666666666666663</v>
      </c>
      <c r="F10" s="114">
        <f ca="1">'Nilai Syafahi'!Y5</f>
        <v>5</v>
      </c>
      <c r="G10" s="7" t="str">
        <f>'Nilai Syafahi'!Z5</f>
        <v>-</v>
      </c>
    </row>
    <row r="11" spans="1:7" ht="18" customHeight="1" x14ac:dyDescent="0.35">
      <c r="A11" s="6">
        <v>6</v>
      </c>
      <c r="B11" s="112" t="str">
        <f>'Data Siswa'!B31</f>
        <v>SITI ADLAH</v>
      </c>
      <c r="C11" s="6" t="str">
        <f>'Data Siswa'!C31</f>
        <v>1233</v>
      </c>
      <c r="D11" s="7">
        <f>'Nilai Syafahi'!W33</f>
        <v>285.5</v>
      </c>
      <c r="E11" s="115">
        <f>'Nilai Syafahi'!X33</f>
        <v>6.3444444444444441</v>
      </c>
      <c r="F11" s="114">
        <f ca="1">'Nilai Syafahi'!Y33</f>
        <v>6</v>
      </c>
      <c r="G11" s="7" t="str">
        <f>'Nilai Syafahi'!Z33</f>
        <v>-</v>
      </c>
    </row>
    <row r="12" spans="1:7" ht="18" customHeight="1" x14ac:dyDescent="0.35">
      <c r="A12" s="6">
        <v>7</v>
      </c>
      <c r="B12" s="112" t="str">
        <f>'Data Siswa'!B10</f>
        <v>EGIDIA AGISTA NOVELIN</v>
      </c>
      <c r="C12" s="6" t="str">
        <f>'Data Siswa'!C10</f>
        <v>1212</v>
      </c>
      <c r="D12" s="7">
        <f>'Nilai Syafahi'!W12</f>
        <v>282.5</v>
      </c>
      <c r="E12" s="115">
        <f>'Nilai Syafahi'!X12</f>
        <v>6.2777777777777777</v>
      </c>
      <c r="F12" s="114">
        <f ca="1">'Nilai Syafahi'!Y12</f>
        <v>7</v>
      </c>
      <c r="G12" s="7" t="str">
        <f>'Nilai Syafahi'!Z12</f>
        <v>-</v>
      </c>
    </row>
    <row r="13" spans="1:7" ht="18" customHeight="1" x14ac:dyDescent="0.35">
      <c r="A13" s="6">
        <v>8</v>
      </c>
      <c r="B13" s="112" t="str">
        <f>'Data Siswa'!B5</f>
        <v>ANGGITA RAMALIA</v>
      </c>
      <c r="C13" s="6" t="str">
        <f>'Data Siswa'!C5</f>
        <v>1207</v>
      </c>
      <c r="D13" s="7">
        <f>'Nilai Syafahi'!W7</f>
        <v>278.5</v>
      </c>
      <c r="E13" s="115">
        <f>'Nilai Syafahi'!X7</f>
        <v>6.1888888888888891</v>
      </c>
      <c r="F13" s="114">
        <f ca="1">'Nilai Syafahi'!Y7</f>
        <v>8</v>
      </c>
      <c r="G13" s="7" t="str">
        <f>'Nilai Syafahi'!Z7</f>
        <v>-</v>
      </c>
    </row>
    <row r="14" spans="1:7" ht="18" customHeight="1" x14ac:dyDescent="0.35">
      <c r="A14" s="6">
        <v>9</v>
      </c>
      <c r="B14" s="112" t="str">
        <f>'Data Siswa'!B17</f>
        <v>INTAN NURRIZKA</v>
      </c>
      <c r="C14" s="6" t="str">
        <f>'Data Siswa'!C17</f>
        <v>1219</v>
      </c>
      <c r="D14" s="7">
        <f>'Nilai Syafahi'!W19</f>
        <v>278.5</v>
      </c>
      <c r="E14" s="115">
        <f>'Nilai Syafahi'!X19</f>
        <v>6.1888888888888891</v>
      </c>
      <c r="F14" s="114">
        <f ca="1">'Nilai Syafahi'!Y19</f>
        <v>8</v>
      </c>
      <c r="G14" s="7" t="str">
        <f>'Nilai Syafahi'!Z19</f>
        <v>-</v>
      </c>
    </row>
    <row r="15" spans="1:7" ht="18" customHeight="1" x14ac:dyDescent="0.35">
      <c r="A15" s="6">
        <v>10</v>
      </c>
      <c r="B15" s="112" t="str">
        <f>'Data Siswa'!B21</f>
        <v>NAJWA KHOERUNNISA</v>
      </c>
      <c r="C15" s="6" t="str">
        <f>'Data Siswa'!C21</f>
        <v>1223</v>
      </c>
      <c r="D15" s="7">
        <f>'Nilai Syafahi'!W23</f>
        <v>273.5</v>
      </c>
      <c r="E15" s="115">
        <f>'Nilai Syafahi'!X23</f>
        <v>6.0777777777777775</v>
      </c>
      <c r="F15" s="114">
        <f ca="1">'Nilai Syafahi'!Y23</f>
        <v>9</v>
      </c>
      <c r="G15" s="7" t="str">
        <f>'Nilai Syafahi'!Z23</f>
        <v>-</v>
      </c>
    </row>
    <row r="16" spans="1:7" ht="18" customHeight="1" x14ac:dyDescent="0.35">
      <c r="A16" s="6">
        <v>11</v>
      </c>
      <c r="B16" s="112" t="str">
        <f>'Data Siswa'!B12</f>
        <v>ERINA ANGGRAENI</v>
      </c>
      <c r="C16" s="6" t="str">
        <f>'Data Siswa'!C12</f>
        <v>1214</v>
      </c>
      <c r="D16" s="7">
        <f>'Nilai Syafahi'!W14</f>
        <v>273</v>
      </c>
      <c r="E16" s="115">
        <f>'Nilai Syafahi'!X14</f>
        <v>6.0666666666666664</v>
      </c>
      <c r="F16" s="114">
        <f ca="1">'Nilai Syafahi'!Y14</f>
        <v>10</v>
      </c>
      <c r="G16" s="7" t="str">
        <f>'Nilai Syafahi'!Z14</f>
        <v>-</v>
      </c>
    </row>
    <row r="17" spans="1:7" ht="18" customHeight="1" x14ac:dyDescent="0.35">
      <c r="A17" s="6">
        <v>12</v>
      </c>
      <c r="B17" s="112" t="str">
        <f>'Data Siswa'!B29</f>
        <v>REIFA AULIA NURFAUZA</v>
      </c>
      <c r="C17" s="6" t="str">
        <f>'Data Siswa'!C29</f>
        <v>1231</v>
      </c>
      <c r="D17" s="7">
        <f>'Nilai Syafahi'!W31</f>
        <v>272.5</v>
      </c>
      <c r="E17" s="115">
        <f>'Nilai Syafahi'!X31</f>
        <v>6.0555555555555554</v>
      </c>
      <c r="F17" s="114">
        <f ca="1">'Nilai Syafahi'!Y31</f>
        <v>11</v>
      </c>
      <c r="G17" s="7" t="str">
        <f>'Nilai Syafahi'!Z31</f>
        <v>-</v>
      </c>
    </row>
    <row r="18" spans="1:7" ht="18" customHeight="1" x14ac:dyDescent="0.35">
      <c r="A18" s="6">
        <v>13</v>
      </c>
      <c r="B18" s="112" t="str">
        <f>'Data Siswa'!B11</f>
        <v>ELSA MARDIANA</v>
      </c>
      <c r="C18" s="6" t="str">
        <f>'Data Siswa'!C11</f>
        <v>1213</v>
      </c>
      <c r="D18" s="7">
        <f>'Nilai Syafahi'!W13</f>
        <v>272</v>
      </c>
      <c r="E18" s="115">
        <f>'Nilai Syafahi'!X13</f>
        <v>6.0444444444444443</v>
      </c>
      <c r="F18" s="114">
        <f ca="1">'Nilai Syafahi'!Y13</f>
        <v>12</v>
      </c>
      <c r="G18" s="7" t="str">
        <f>'Nilai Syafahi'!Z13</f>
        <v>-</v>
      </c>
    </row>
    <row r="19" spans="1:7" ht="18" customHeight="1" x14ac:dyDescent="0.35">
      <c r="A19" s="6">
        <v>14</v>
      </c>
      <c r="B19" s="112" t="str">
        <f>'Data Siswa'!B14</f>
        <v>FANI RISKA VIANA</v>
      </c>
      <c r="C19" s="6" t="str">
        <f>'Data Siswa'!C14</f>
        <v>1216</v>
      </c>
      <c r="D19" s="7">
        <f>'Nilai Syafahi'!W16</f>
        <v>271.5</v>
      </c>
      <c r="E19" s="115">
        <f>'Nilai Syafahi'!X16</f>
        <v>6.0333333333333332</v>
      </c>
      <c r="F19" s="114">
        <f ca="1">'Nilai Syafahi'!Y16</f>
        <v>13</v>
      </c>
      <c r="G19" s="7" t="str">
        <f>'Nilai Syafahi'!Z16</f>
        <v>-</v>
      </c>
    </row>
    <row r="20" spans="1:7" ht="18" customHeight="1" x14ac:dyDescent="0.35">
      <c r="A20" s="6">
        <v>15</v>
      </c>
      <c r="B20" s="112" t="str">
        <f>'Data Siswa'!B26</f>
        <v>NURIYANTI</v>
      </c>
      <c r="C20" s="6" t="str">
        <f>'Data Siswa'!C26</f>
        <v>1228</v>
      </c>
      <c r="D20" s="7">
        <f>'Nilai Syafahi'!W28</f>
        <v>269.5</v>
      </c>
      <c r="E20" s="115">
        <f>'Nilai Syafahi'!X28</f>
        <v>5.9888888888888889</v>
      </c>
      <c r="F20" s="114">
        <f ca="1">'Nilai Syafahi'!Y28</f>
        <v>14</v>
      </c>
      <c r="G20" s="7" t="str">
        <f>'Nilai Syafahi'!Z28</f>
        <v>-</v>
      </c>
    </row>
    <row r="21" spans="1:7" ht="18" customHeight="1" x14ac:dyDescent="0.35">
      <c r="A21" s="6">
        <v>16</v>
      </c>
      <c r="B21" s="112" t="str">
        <f>'Data Siswa'!B8</f>
        <v>CINDY RAHMANATI</v>
      </c>
      <c r="C21" s="6" t="str">
        <f>'Data Siswa'!C8</f>
        <v>1210</v>
      </c>
      <c r="D21" s="7">
        <f>'Nilai Syafahi'!W10</f>
        <v>269</v>
      </c>
      <c r="E21" s="115">
        <f>'Nilai Syafahi'!X10</f>
        <v>5.9777777777777779</v>
      </c>
      <c r="F21" s="114">
        <f ca="1">'Nilai Syafahi'!Y10</f>
        <v>15</v>
      </c>
      <c r="G21" s="7" t="str">
        <f>'Nilai Syafahi'!Z10</f>
        <v>-</v>
      </c>
    </row>
    <row r="22" spans="1:7" ht="18" customHeight="1" x14ac:dyDescent="0.35">
      <c r="A22" s="6">
        <v>17</v>
      </c>
      <c r="B22" s="112" t="str">
        <f>'Data Siswa'!B32</f>
        <v>SITI NURHALISAH</v>
      </c>
      <c r="C22" s="6" t="str">
        <f>'Data Siswa'!C32</f>
        <v>1234</v>
      </c>
      <c r="D22" s="7">
        <f>'Nilai Syafahi'!W34</f>
        <v>266</v>
      </c>
      <c r="E22" s="115">
        <f>'Nilai Syafahi'!X34</f>
        <v>5.9111111111111114</v>
      </c>
      <c r="F22" s="114">
        <f ca="1">'Nilai Syafahi'!Y34</f>
        <v>16</v>
      </c>
      <c r="G22" s="7" t="str">
        <f>'Nilai Syafahi'!Z34</f>
        <v>-</v>
      </c>
    </row>
    <row r="23" spans="1:7" ht="18" customHeight="1" x14ac:dyDescent="0.35">
      <c r="A23" s="6">
        <v>18</v>
      </c>
      <c r="B23" s="112" t="str">
        <f>'Data Siswa'!B24</f>
        <v>NOVA AULIA RITONGA</v>
      </c>
      <c r="C23" s="6" t="str">
        <f>'Data Siswa'!C24</f>
        <v>1226</v>
      </c>
      <c r="D23" s="7">
        <f>'Nilai Syafahi'!W26</f>
        <v>265</v>
      </c>
      <c r="E23" s="115">
        <f>'Nilai Syafahi'!X26</f>
        <v>5.8888888888888893</v>
      </c>
      <c r="F23" s="114">
        <f ca="1">'Nilai Syafahi'!Y26</f>
        <v>17</v>
      </c>
      <c r="G23" s="7" t="str">
        <f>'Nilai Syafahi'!Z26</f>
        <v>-</v>
      </c>
    </row>
    <row r="24" spans="1:7" ht="18" customHeight="1" x14ac:dyDescent="0.35">
      <c r="A24" s="6">
        <v>19</v>
      </c>
      <c r="B24" s="112" t="str">
        <f>'Data Siswa'!B7</f>
        <v>CAHYANI WULANDARI</v>
      </c>
      <c r="C24" s="6" t="str">
        <f>'Data Siswa'!C7</f>
        <v>1209</v>
      </c>
      <c r="D24" s="7">
        <f>'Nilai Syafahi'!W9</f>
        <v>264.5</v>
      </c>
      <c r="E24" s="115">
        <f>'Nilai Syafahi'!X9</f>
        <v>5.8777777777777782</v>
      </c>
      <c r="F24" s="114">
        <f ca="1">'Nilai Syafahi'!Y9</f>
        <v>18</v>
      </c>
      <c r="G24" s="7" t="str">
        <f>'Nilai Syafahi'!Z9</f>
        <v>-</v>
      </c>
    </row>
    <row r="25" spans="1:7" ht="18" customHeight="1" x14ac:dyDescent="0.35">
      <c r="A25" s="6">
        <v>20</v>
      </c>
      <c r="B25" s="112" t="str">
        <f>'Data Siswa'!B13</f>
        <v>FAHIRA IKMALIA HADI</v>
      </c>
      <c r="C25" s="6" t="str">
        <f>'Data Siswa'!C13</f>
        <v>1215</v>
      </c>
      <c r="D25" s="7">
        <f>'Nilai Syafahi'!W15</f>
        <v>262.5</v>
      </c>
      <c r="E25" s="115">
        <f>'Nilai Syafahi'!X15</f>
        <v>5.833333333333333</v>
      </c>
      <c r="F25" s="114">
        <f ca="1">'Nilai Syafahi'!Y15</f>
        <v>19</v>
      </c>
      <c r="G25" s="7" t="str">
        <f>'Nilai Syafahi'!Z15</f>
        <v>-</v>
      </c>
    </row>
    <row r="26" spans="1:7" ht="18" customHeight="1" x14ac:dyDescent="0.35">
      <c r="A26" s="6">
        <v>21</v>
      </c>
      <c r="B26" s="112" t="str">
        <f>'Data Siswa'!B34</f>
        <v>VHISCA FAMELA ERICA</v>
      </c>
      <c r="C26" s="6" t="str">
        <f>'Data Siswa'!C34</f>
        <v>1236</v>
      </c>
      <c r="D26" s="7">
        <f>'Nilai Syafahi'!W36</f>
        <v>262</v>
      </c>
      <c r="E26" s="115">
        <f>'Nilai Syafahi'!X36</f>
        <v>5.822222222222222</v>
      </c>
      <c r="F26" s="114">
        <f ca="1">'Nilai Syafahi'!Y36</f>
        <v>20</v>
      </c>
      <c r="G26" s="7" t="str">
        <f>'Nilai Syafahi'!Z36</f>
        <v>-</v>
      </c>
    </row>
    <row r="27" spans="1:7" ht="18" customHeight="1" x14ac:dyDescent="0.35">
      <c r="A27" s="6">
        <v>22</v>
      </c>
      <c r="B27" s="112" t="str">
        <f>'Data Siswa'!B23</f>
        <v>NANDA HAMIDAH</v>
      </c>
      <c r="C27" s="6" t="str">
        <f>'Data Siswa'!C23</f>
        <v>1225</v>
      </c>
      <c r="D27" s="7">
        <f>'Nilai Syafahi'!W25</f>
        <v>261</v>
      </c>
      <c r="E27" s="115">
        <f>'Nilai Syafahi'!X25</f>
        <v>5.8</v>
      </c>
      <c r="F27" s="114">
        <f ca="1">'Nilai Syafahi'!Y25</f>
        <v>21</v>
      </c>
      <c r="G27" s="7" t="str">
        <f>'Nilai Syafahi'!Z25</f>
        <v>-</v>
      </c>
    </row>
    <row r="28" spans="1:7" ht="18" customHeight="1" x14ac:dyDescent="0.35">
      <c r="A28" s="6">
        <v>23</v>
      </c>
      <c r="B28" s="112" t="str">
        <f>'Data Siswa'!B18</f>
        <v>KEISYA AURA RUSDIANSYAH</v>
      </c>
      <c r="C28" s="6" t="str">
        <f>'Data Siswa'!C18</f>
        <v>1220</v>
      </c>
      <c r="D28" s="7">
        <f>'Nilai Syafahi'!W20</f>
        <v>258</v>
      </c>
      <c r="E28" s="115">
        <f>'Nilai Syafahi'!X20</f>
        <v>5.7333333333333334</v>
      </c>
      <c r="F28" s="114">
        <f ca="1">'Nilai Syafahi'!Y20</f>
        <v>22</v>
      </c>
      <c r="G28" s="7" t="str">
        <f>'Nilai Syafahi'!Z20</f>
        <v>-</v>
      </c>
    </row>
    <row r="29" spans="1:7" ht="18" customHeight="1" x14ac:dyDescent="0.35">
      <c r="A29" s="6">
        <v>24</v>
      </c>
      <c r="B29" s="112" t="str">
        <f>'Data Siswa'!B15</f>
        <v>FIKA NUR AMELIA</v>
      </c>
      <c r="C29" s="6" t="str">
        <f>'Data Siswa'!C15</f>
        <v>1217</v>
      </c>
      <c r="D29" s="7">
        <f>'Nilai Syafahi'!W17</f>
        <v>252</v>
      </c>
      <c r="E29" s="115">
        <f>'Nilai Syafahi'!X17</f>
        <v>5.6</v>
      </c>
      <c r="F29" s="114">
        <f ca="1">'Nilai Syafahi'!Y17</f>
        <v>23</v>
      </c>
      <c r="G29" s="7" t="str">
        <f>'Nilai Syafahi'!Z17</f>
        <v>-</v>
      </c>
    </row>
    <row r="30" spans="1:7" ht="18" customHeight="1" x14ac:dyDescent="0.35">
      <c r="A30" s="6">
        <v>25</v>
      </c>
      <c r="B30" s="112" t="str">
        <f>'Data Siswa'!B16</f>
        <v>INDAH MAWADDAH</v>
      </c>
      <c r="C30" s="6" t="str">
        <f>'Data Siswa'!C16</f>
        <v>1218</v>
      </c>
      <c r="D30" s="7">
        <f>'Nilai Syafahi'!W18</f>
        <v>252</v>
      </c>
      <c r="E30" s="115">
        <f>'Nilai Syafahi'!X18</f>
        <v>5.6</v>
      </c>
      <c r="F30" s="114">
        <f ca="1">'Nilai Syafahi'!Y18</f>
        <v>23</v>
      </c>
      <c r="G30" s="7" t="str">
        <f>'Nilai Syafahi'!Z18</f>
        <v>-</v>
      </c>
    </row>
    <row r="31" spans="1:7" ht="18" customHeight="1" x14ac:dyDescent="0.35">
      <c r="A31" s="6">
        <v>26</v>
      </c>
      <c r="B31" s="112" t="str">
        <f>'Data Siswa'!B19</f>
        <v>LESTIANA LUXMY MADINA NUSA</v>
      </c>
      <c r="C31" s="6" t="str">
        <f>'Data Siswa'!C19</f>
        <v>1221</v>
      </c>
      <c r="D31" s="7">
        <f>'Nilai Syafahi'!W21</f>
        <v>249.5</v>
      </c>
      <c r="E31" s="115">
        <f>'Nilai Syafahi'!X21</f>
        <v>5.8023255813953485</v>
      </c>
      <c r="F31" s="114">
        <f ca="1">'Nilai Syafahi'!Y21</f>
        <v>24</v>
      </c>
      <c r="G31" s="7" t="str">
        <f>'Nilai Syafahi'!Z21</f>
        <v>-</v>
      </c>
    </row>
    <row r="32" spans="1:7" ht="18" customHeight="1" x14ac:dyDescent="0.35">
      <c r="A32" s="6">
        <v>27</v>
      </c>
      <c r="B32" s="112" t="str">
        <f>'Data Siswa'!B22</f>
        <v>NAJWA ZAHROTUNNISA</v>
      </c>
      <c r="C32" s="6" t="str">
        <f>'Data Siswa'!C22</f>
        <v>1224</v>
      </c>
      <c r="D32" s="7">
        <f>'Nilai Syafahi'!W24</f>
        <v>249</v>
      </c>
      <c r="E32" s="115">
        <f>'Nilai Syafahi'!X24</f>
        <v>5.5333333333333332</v>
      </c>
      <c r="F32" s="114">
        <f ca="1">'Nilai Syafahi'!Y24</f>
        <v>25</v>
      </c>
      <c r="G32" s="7" t="str">
        <f>'Nilai Syafahi'!Z24</f>
        <v>-</v>
      </c>
    </row>
    <row r="33" spans="1:7" ht="18" customHeight="1" x14ac:dyDescent="0.35">
      <c r="A33" s="6">
        <v>28</v>
      </c>
      <c r="B33" s="112" t="str">
        <f>'Data Siswa'!B27</f>
        <v>RAMINAH</v>
      </c>
      <c r="C33" s="6" t="str">
        <f>'Data Siswa'!C27</f>
        <v>1229</v>
      </c>
      <c r="D33" s="7">
        <f>'Nilai Syafahi'!W29</f>
        <v>247.5</v>
      </c>
      <c r="E33" s="115">
        <f>'Nilai Syafahi'!X29</f>
        <v>5.5</v>
      </c>
      <c r="F33" s="114">
        <f ca="1">'Nilai Syafahi'!Y29</f>
        <v>26</v>
      </c>
      <c r="G33" s="7" t="str">
        <f>'Nilai Syafahi'!Z29</f>
        <v>-</v>
      </c>
    </row>
    <row r="34" spans="1:7" ht="18" customHeight="1" x14ac:dyDescent="0.35">
      <c r="A34" s="6">
        <v>29</v>
      </c>
      <c r="B34" s="112" t="str">
        <f>'Data Siswa'!B35</f>
        <v>ZAHROTUL AWWALIYAH</v>
      </c>
      <c r="C34" s="6" t="str">
        <f>'Data Siswa'!C35</f>
        <v>1237</v>
      </c>
      <c r="D34" s="7">
        <f>'Nilai Syafahi'!W37</f>
        <v>245.5</v>
      </c>
      <c r="E34" s="115">
        <f>'Nilai Syafahi'!X37</f>
        <v>5.8452380952380949</v>
      </c>
      <c r="F34" s="114">
        <f ca="1">'Nilai Syafahi'!Y37</f>
        <v>27</v>
      </c>
      <c r="G34" s="7" t="str">
        <f>'Nilai Syafahi'!Z37</f>
        <v>-</v>
      </c>
    </row>
    <row r="35" spans="1:7" ht="18" customHeight="1" x14ac:dyDescent="0.35">
      <c r="A35" s="6">
        <v>30</v>
      </c>
      <c r="B35" s="112" t="str">
        <f>'Data Siswa'!B2</f>
        <v>AISYAH DZAKIYYAH</v>
      </c>
      <c r="C35" s="6" t="str">
        <f>'Data Siswa'!C2</f>
        <v>1204</v>
      </c>
      <c r="D35" s="7">
        <f>'Nilai Syafahi'!W4</f>
        <v>241.5</v>
      </c>
      <c r="E35" s="115">
        <f>'Nilai Syafahi'!X4</f>
        <v>5.8902439024390247</v>
      </c>
      <c r="F35" s="114">
        <f ca="1">'Nilai Syafahi'!Y4</f>
        <v>28</v>
      </c>
      <c r="G35" s="7" t="str">
        <f>'Nilai Syafahi'!Z4</f>
        <v>-</v>
      </c>
    </row>
    <row r="36" spans="1:7" ht="18" customHeight="1" x14ac:dyDescent="0.35">
      <c r="A36" s="6">
        <v>31</v>
      </c>
      <c r="B36" s="112" t="str">
        <f>'Data Siswa'!B4</f>
        <v>ANDINI DAHLIANI</v>
      </c>
      <c r="C36" s="6" t="str">
        <f>'Data Siswa'!C4</f>
        <v>1206</v>
      </c>
      <c r="D36" s="7">
        <f>'Nilai Syafahi'!W6</f>
        <v>231.5</v>
      </c>
      <c r="E36" s="115">
        <f>'Nilai Syafahi'!X6</f>
        <v>5.1444444444444448</v>
      </c>
      <c r="F36" s="114">
        <f ca="1">'Nilai Syafahi'!Y6</f>
        <v>29</v>
      </c>
      <c r="G36" s="7" t="str">
        <f>'Nilai Syafahi'!Z6</f>
        <v>-</v>
      </c>
    </row>
    <row r="37" spans="1:7" ht="18" customHeight="1" x14ac:dyDescent="0.35">
      <c r="A37" s="6">
        <v>32</v>
      </c>
      <c r="B37" s="112" t="str">
        <f>'Data Siswa'!B28</f>
        <v>RAYNA NURUL AUDINA</v>
      </c>
      <c r="C37" s="6" t="str">
        <f>'Data Siswa'!C28</f>
        <v>1230</v>
      </c>
      <c r="D37" s="7">
        <f>'Nilai Syafahi'!W30</f>
        <v>231</v>
      </c>
      <c r="E37" s="115">
        <f>'Nilai Syafahi'!X30</f>
        <v>6.0789473684210522</v>
      </c>
      <c r="F37" s="114">
        <f ca="1">'Nilai Syafahi'!Y30</f>
        <v>30</v>
      </c>
      <c r="G37" s="7" t="str">
        <f>'Nilai Syafahi'!Z30</f>
        <v>-</v>
      </c>
    </row>
    <row r="38" spans="1:7" ht="18" customHeight="1" x14ac:dyDescent="0.35">
      <c r="A38" s="6">
        <v>33</v>
      </c>
      <c r="B38" s="112" t="str">
        <f>'Data Siswa'!B6</f>
        <v>AYUDYA LESTARI</v>
      </c>
      <c r="C38" s="6" t="str">
        <f>'Data Siswa'!C6</f>
        <v>1208</v>
      </c>
      <c r="D38" s="7">
        <f>'Nilai Syafahi'!W8</f>
        <v>229</v>
      </c>
      <c r="E38" s="115">
        <f>'Nilai Syafahi'!X8</f>
        <v>5.0888888888888886</v>
      </c>
      <c r="F38" s="114">
        <f ca="1">'Nilai Syafahi'!Y8</f>
        <v>31</v>
      </c>
      <c r="G38" s="7" t="str">
        <f>'Nilai Syafahi'!Z8</f>
        <v>-</v>
      </c>
    </row>
    <row r="39" spans="1:7" ht="18" customHeight="1" x14ac:dyDescent="0.35">
      <c r="A39" s="6">
        <v>34</v>
      </c>
      <c r="B39" s="112" t="str">
        <f>'Data Siswa'!B25</f>
        <v>NUR AFNI OKTAFIYANTI</v>
      </c>
      <c r="C39" s="6" t="str">
        <f>'Data Siswa'!C25</f>
        <v>1227</v>
      </c>
      <c r="D39" s="7">
        <f>'Nilai Syafahi'!W27</f>
        <v>218.5</v>
      </c>
      <c r="E39" s="115">
        <f>'Nilai Syafahi'!X27</f>
        <v>5.9054054054054053</v>
      </c>
      <c r="F39" s="114">
        <f ca="1">'Nilai Syafahi'!Y27</f>
        <v>32</v>
      </c>
      <c r="G39" s="7" t="str">
        <f>'Nilai Syafahi'!Z27</f>
        <v>-</v>
      </c>
    </row>
    <row r="40" spans="1:7" ht="18" customHeight="1" x14ac:dyDescent="0.35">
      <c r="A40" s="6">
        <v>35</v>
      </c>
      <c r="B40" s="112">
        <f>'Data Siswa'!B36</f>
        <v>0</v>
      </c>
      <c r="C40" s="6">
        <f>'Data Siswa'!C36</f>
        <v>0</v>
      </c>
      <c r="D40" s="7">
        <f>'Nilai Syafahi'!W38</f>
        <v>0</v>
      </c>
      <c r="E40" s="115" t="e">
        <f>'Nilai Syafahi'!X38</f>
        <v>#DIV/0!</v>
      </c>
      <c r="F40" s="114">
        <f ca="1">'Nilai Syafahi'!Y38</f>
        <v>33</v>
      </c>
      <c r="G40" s="7" t="str">
        <f>'Nilai Syafahi'!Z38</f>
        <v>-</v>
      </c>
    </row>
    <row r="41" spans="1:7" ht="18" customHeight="1" x14ac:dyDescent="0.35">
      <c r="A41" s="6">
        <v>36</v>
      </c>
      <c r="B41" s="112">
        <f>'Data Siswa'!B37</f>
        <v>0</v>
      </c>
      <c r="C41" s="6">
        <f>'Data Siswa'!C37</f>
        <v>0</v>
      </c>
      <c r="D41" s="7">
        <f>'Nilai Syafahi'!W39</f>
        <v>0</v>
      </c>
      <c r="E41" s="115" t="e">
        <f>'Nilai Syafahi'!X39</f>
        <v>#DIV/0!</v>
      </c>
      <c r="F41" s="114">
        <f ca="1">'Nilai Syafahi'!Y39</f>
        <v>33</v>
      </c>
      <c r="G41" s="7" t="str">
        <f>'Nilai Syafahi'!Z39</f>
        <v>-</v>
      </c>
    </row>
    <row r="42" spans="1:7" ht="18" customHeight="1" x14ac:dyDescent="0.35">
      <c r="A42" s="6">
        <v>37</v>
      </c>
      <c r="B42" s="112">
        <f>'Data Siswa'!B38</f>
        <v>0</v>
      </c>
      <c r="C42" s="6">
        <f>'Data Siswa'!C38</f>
        <v>0</v>
      </c>
      <c r="D42" s="7">
        <f>'Nilai Syafahi'!W40</f>
        <v>0</v>
      </c>
      <c r="E42" s="115" t="e">
        <f>'Nilai Syafahi'!X40</f>
        <v>#DIV/0!</v>
      </c>
      <c r="F42" s="114">
        <f ca="1">'Nilai Syafahi'!Y40</f>
        <v>33</v>
      </c>
      <c r="G42" s="7" t="str">
        <f>'Nilai Syafahi'!Z40</f>
        <v>-</v>
      </c>
    </row>
    <row r="43" spans="1:7" ht="18" customHeight="1" x14ac:dyDescent="0.35">
      <c r="A43" s="6">
        <v>38</v>
      </c>
      <c r="B43" s="112">
        <f>'Data Siswa'!B39</f>
        <v>0</v>
      </c>
      <c r="C43" s="6">
        <f>'Data Siswa'!C39</f>
        <v>0</v>
      </c>
      <c r="D43" s="7">
        <f>'Nilai Syafahi'!W41</f>
        <v>0</v>
      </c>
      <c r="E43" s="115" t="e">
        <f>'Nilai Syafahi'!X41</f>
        <v>#DIV/0!</v>
      </c>
      <c r="F43" s="114">
        <f ca="1">'Nilai Syafahi'!Y41</f>
        <v>33</v>
      </c>
      <c r="G43" s="7" t="str">
        <f>'Nilai Syafahi'!Z41</f>
        <v>-</v>
      </c>
    </row>
    <row r="44" spans="1:7" ht="18" customHeight="1" x14ac:dyDescent="0.35">
      <c r="A44" s="6">
        <v>39</v>
      </c>
      <c r="B44" s="112">
        <f>'Data Siswa'!B40</f>
        <v>0</v>
      </c>
      <c r="C44" s="6">
        <f>'Data Siswa'!C40</f>
        <v>0</v>
      </c>
      <c r="D44" s="7">
        <f>'Nilai Syafahi'!W42</f>
        <v>0</v>
      </c>
      <c r="E44" s="115" t="e">
        <f>'Nilai Syafahi'!X42</f>
        <v>#DIV/0!</v>
      </c>
      <c r="F44" s="114">
        <f ca="1">'Nilai Syafahi'!Y42</f>
        <v>33</v>
      </c>
      <c r="G44" s="7" t="str">
        <f>'Nilai Syafahi'!Z42</f>
        <v>-</v>
      </c>
    </row>
    <row r="45" spans="1:7" ht="18" customHeight="1" x14ac:dyDescent="0.35">
      <c r="A45" s="6">
        <v>40</v>
      </c>
      <c r="B45" s="112">
        <f>'Data Siswa'!B41</f>
        <v>0</v>
      </c>
      <c r="C45" s="6">
        <f>'Data Siswa'!C41</f>
        <v>0</v>
      </c>
      <c r="D45" s="7">
        <f>'Nilai Syafahi'!W43</f>
        <v>0</v>
      </c>
      <c r="E45" s="115" t="e">
        <f>'Nilai Syafahi'!X43</f>
        <v>#DIV/0!</v>
      </c>
      <c r="F45" s="114">
        <f ca="1">'Nilai Syafahi'!Y43</f>
        <v>33</v>
      </c>
      <c r="G45" s="7" t="str">
        <f>'Nilai Syafahi'!Z43</f>
        <v>-</v>
      </c>
    </row>
    <row r="47" spans="1:7" ht="18.5" x14ac:dyDescent="0.45">
      <c r="D47" s="110"/>
      <c r="E47" s="267" t="s">
        <v>163</v>
      </c>
      <c r="F47" s="267"/>
      <c r="G47" s="267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68" t="str">
        <f>Biodata!C19</f>
        <v xml:space="preserve"> الأستاذ سيف العلوي</v>
      </c>
      <c r="F50" s="268"/>
      <c r="G50" s="268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6.9444444444444406E-2" header="0.3" footer="0.3"/>
  <pageSetup paperSize="14" orientation="portrait" r:id="rId1"/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271</v>
      </c>
    </row>
    <row r="4" spans="1:2" x14ac:dyDescent="0.35">
      <c r="A4" s="4">
        <v>1.1000000000000001</v>
      </c>
      <c r="B4" s="2" t="s">
        <v>272</v>
      </c>
    </row>
    <row r="5" spans="1:2" x14ac:dyDescent="0.35">
      <c r="A5" s="4">
        <v>1.2</v>
      </c>
      <c r="B5" s="2" t="s">
        <v>280</v>
      </c>
    </row>
    <row r="6" spans="1:2" x14ac:dyDescent="0.35">
      <c r="A6" s="4">
        <v>1.3</v>
      </c>
      <c r="B6" s="2" t="s">
        <v>273</v>
      </c>
    </row>
    <row r="7" spans="1:2" x14ac:dyDescent="0.35">
      <c r="A7" s="4">
        <v>1.4</v>
      </c>
      <c r="B7" s="2" t="s">
        <v>274</v>
      </c>
    </row>
    <row r="8" spans="1:2" x14ac:dyDescent="0.35">
      <c r="A8" s="4">
        <v>1.5</v>
      </c>
      <c r="B8" s="2" t="s">
        <v>275</v>
      </c>
    </row>
    <row r="9" spans="1:2" x14ac:dyDescent="0.35">
      <c r="A9" s="4">
        <v>1.6</v>
      </c>
      <c r="B9" s="2" t="s">
        <v>276</v>
      </c>
    </row>
    <row r="10" spans="1:2" x14ac:dyDescent="0.35">
      <c r="A10" s="4">
        <v>1.7</v>
      </c>
      <c r="B10" s="2" t="s">
        <v>277</v>
      </c>
    </row>
    <row r="11" spans="1:2" x14ac:dyDescent="0.35">
      <c r="A11" s="4">
        <v>1.8</v>
      </c>
      <c r="B11" s="2" t="s">
        <v>278</v>
      </c>
    </row>
    <row r="12" spans="1:2" x14ac:dyDescent="0.35">
      <c r="A12" s="4">
        <v>1.9</v>
      </c>
      <c r="B12" s="2" t="s">
        <v>279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10</vt:i4>
      </vt:variant>
      <vt:variant>
        <vt:lpstr>Rentang Bernama</vt:lpstr>
      </vt:variant>
      <vt:variant>
        <vt:i4>3</vt:i4>
      </vt:variant>
    </vt:vector>
  </HeadingPairs>
  <TitlesOfParts>
    <vt:vector size="13" baseType="lpstr">
      <vt:lpstr>Identitas</vt:lpstr>
      <vt:lpstr>Biodata</vt:lpstr>
      <vt:lpstr>Data Siswa</vt:lpstr>
      <vt:lpstr>Nilai Tahriri</vt:lpstr>
      <vt:lpstr>Lembar1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2023-12-16T04:15:40Z</cp:lastPrinted>
  <dcterms:created xsi:type="dcterms:W3CDTF">2019-11-28T05:18:02Z</dcterms:created>
  <dcterms:modified xsi:type="dcterms:W3CDTF">2024-01-02T13:44:05Z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