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25C9D592-6C7E-4EF8-A2BB-466E95DBFE3F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E50" i="12"/>
  <c r="B12" i="12"/>
  <c r="C12" i="12"/>
  <c r="B18" i="12"/>
  <c r="C18" i="12"/>
  <c r="B26" i="12"/>
  <c r="C26" i="12"/>
  <c r="B29" i="12"/>
  <c r="C29" i="12"/>
  <c r="B9" i="12"/>
  <c r="C9" i="12"/>
  <c r="B16" i="12"/>
  <c r="C16" i="12"/>
  <c r="B13" i="12"/>
  <c r="C13" i="12"/>
  <c r="B8" i="12"/>
  <c r="C8" i="12"/>
  <c r="B19" i="12"/>
  <c r="C19" i="12"/>
  <c r="B24" i="12"/>
  <c r="C24" i="12"/>
  <c r="B10" i="12"/>
  <c r="C10" i="12"/>
  <c r="B20" i="12"/>
  <c r="C20" i="12"/>
  <c r="B7" i="12"/>
  <c r="C7" i="12"/>
  <c r="B11" i="12"/>
  <c r="C11" i="12"/>
  <c r="B17" i="12"/>
  <c r="C17" i="12"/>
  <c r="B14" i="12"/>
  <c r="C14" i="12"/>
  <c r="B28" i="12"/>
  <c r="C28" i="12"/>
  <c r="B21" i="12"/>
  <c r="C21" i="12"/>
  <c r="B25" i="12"/>
  <c r="C25" i="12"/>
  <c r="B22" i="12"/>
  <c r="C22" i="12"/>
  <c r="B27" i="12"/>
  <c r="C27" i="12"/>
  <c r="B6" i="12"/>
  <c r="C6" i="12"/>
  <c r="B15" i="12"/>
  <c r="C15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3" i="12"/>
  <c r="C23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12" i="12" s="1"/>
  <c r="X6" i="4"/>
  <c r="E18" i="12" s="1"/>
  <c r="X7" i="4"/>
  <c r="E26" i="12" s="1"/>
  <c r="X8" i="4"/>
  <c r="E29" i="12" s="1"/>
  <c r="X9" i="4"/>
  <c r="E9" i="12" s="1"/>
  <c r="X10" i="4"/>
  <c r="E16" i="12" s="1"/>
  <c r="X11" i="4"/>
  <c r="E13" i="12" s="1"/>
  <c r="X12" i="4"/>
  <c r="E8" i="12" s="1"/>
  <c r="X13" i="4"/>
  <c r="E19" i="12" s="1"/>
  <c r="X14" i="4"/>
  <c r="E24" i="12" s="1"/>
  <c r="X15" i="4"/>
  <c r="E10" i="12" s="1"/>
  <c r="X16" i="4"/>
  <c r="E20" i="12" s="1"/>
  <c r="X17" i="4"/>
  <c r="E7" i="12" s="1"/>
  <c r="X18" i="4"/>
  <c r="E11" i="12" s="1"/>
  <c r="X19" i="4"/>
  <c r="E17" i="12" s="1"/>
  <c r="X20" i="4"/>
  <c r="E14" i="12" s="1"/>
  <c r="X21" i="4"/>
  <c r="E28" i="12" s="1"/>
  <c r="X22" i="4"/>
  <c r="E21" i="12" s="1"/>
  <c r="X23" i="4"/>
  <c r="E25" i="12" s="1"/>
  <c r="X24" i="4"/>
  <c r="E22" i="12" s="1"/>
  <c r="X25" i="4"/>
  <c r="E27" i="12" s="1"/>
  <c r="X26" i="4"/>
  <c r="E6" i="12" s="1"/>
  <c r="X27" i="4"/>
  <c r="E15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23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6" i="12"/>
  <c r="G35" i="12"/>
  <c r="G34" i="12"/>
  <c r="G33" i="12"/>
  <c r="G32" i="12"/>
  <c r="G31" i="12"/>
  <c r="G30" i="12"/>
  <c r="G15" i="12"/>
  <c r="G27" i="12"/>
  <c r="G22" i="12"/>
  <c r="G25" i="12"/>
  <c r="G21" i="12"/>
  <c r="G28" i="12"/>
  <c r="G14" i="12"/>
  <c r="G17" i="12"/>
  <c r="G11" i="12"/>
  <c r="G7" i="12"/>
  <c r="G20" i="12"/>
  <c r="G10" i="12"/>
  <c r="G24" i="12"/>
  <c r="G19" i="12"/>
  <c r="G8" i="12"/>
  <c r="G13" i="12"/>
  <c r="G16" i="12"/>
  <c r="G9" i="12"/>
  <c r="G29" i="12"/>
  <c r="G26" i="12"/>
  <c r="G18" i="12"/>
  <c r="G12" i="12"/>
  <c r="G23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W40" i="4" s="1"/>
  <c r="D42" i="12" s="1"/>
  <c r="C38" i="3"/>
  <c r="B38" i="3"/>
  <c r="AJ37" i="3"/>
  <c r="C37" i="3"/>
  <c r="B37" i="3"/>
  <c r="AJ36" i="3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W33" i="4" s="1"/>
  <c r="D35" i="12" s="1"/>
  <c r="C31" i="3"/>
  <c r="B31" i="3"/>
  <c r="AJ30" i="3"/>
  <c r="W32" i="4" s="1"/>
  <c r="D34" i="12" s="1"/>
  <c r="C30" i="3"/>
  <c r="B30" i="3"/>
  <c r="AJ29" i="3"/>
  <c r="C29" i="3"/>
  <c r="B29" i="3"/>
  <c r="AJ28" i="3"/>
  <c r="C28" i="3"/>
  <c r="B28" i="3"/>
  <c r="AJ27" i="3"/>
  <c r="W29" i="4" s="1"/>
  <c r="D31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W25" i="4" s="1"/>
  <c r="D27" i="12" s="1"/>
  <c r="C23" i="3"/>
  <c r="B23" i="3"/>
  <c r="AJ22" i="3"/>
  <c r="C22" i="3"/>
  <c r="B22" i="3"/>
  <c r="AJ21" i="3"/>
  <c r="C21" i="3"/>
  <c r="B21" i="3"/>
  <c r="AJ20" i="3"/>
  <c r="C20" i="3"/>
  <c r="B20" i="3"/>
  <c r="AJ19" i="3"/>
  <c r="C19" i="3"/>
  <c r="B19" i="3"/>
  <c r="AJ18" i="3"/>
  <c r="C18" i="3"/>
  <c r="B18" i="3"/>
  <c r="AJ17" i="3"/>
  <c r="C17" i="3"/>
  <c r="B17" i="3"/>
  <c r="AJ16" i="3"/>
  <c r="C16" i="3"/>
  <c r="B16" i="3"/>
  <c r="AJ15" i="3"/>
  <c r="W17" i="4" s="1"/>
  <c r="D7" i="12" s="1"/>
  <c r="C15" i="3"/>
  <c r="B15" i="3"/>
  <c r="AJ14" i="3"/>
  <c r="C14" i="3"/>
  <c r="B14" i="3"/>
  <c r="AJ13" i="3"/>
  <c r="C13" i="3"/>
  <c r="B13" i="3"/>
  <c r="AJ12" i="3"/>
  <c r="C12" i="3"/>
  <c r="B12" i="3"/>
  <c r="AJ11" i="3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C4" i="3"/>
  <c r="B4" i="3"/>
  <c r="AJ3" i="3"/>
  <c r="C3" i="3"/>
  <c r="B3" i="3"/>
  <c r="AJ2" i="3"/>
  <c r="C2" i="3"/>
  <c r="B2" i="3"/>
  <c r="A2" i="3"/>
  <c r="B7" i="8"/>
  <c r="K3" i="1" s="1"/>
  <c r="B4" i="8"/>
  <c r="M3" i="1" s="1"/>
  <c r="W30" i="4" l="1"/>
  <c r="D32" i="12" s="1"/>
  <c r="W38" i="4"/>
  <c r="D40" i="12" s="1"/>
  <c r="W21" i="4"/>
  <c r="D28" i="12" s="1"/>
  <c r="W13" i="4"/>
  <c r="D19" i="12" s="1"/>
  <c r="W8" i="4"/>
  <c r="D29" i="12" s="1"/>
  <c r="W6" i="4"/>
  <c r="D18" i="12" s="1"/>
  <c r="W24" i="4"/>
  <c r="D22" i="12" s="1"/>
  <c r="W22" i="4"/>
  <c r="D21" i="12" s="1"/>
  <c r="W16" i="4"/>
  <c r="D20" i="12" s="1"/>
  <c r="W14" i="4"/>
  <c r="D24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17" i="12" s="1"/>
  <c r="W27" i="4"/>
  <c r="D15" i="12" s="1"/>
  <c r="W35" i="4"/>
  <c r="D37" i="12" s="1"/>
  <c r="W43" i="4"/>
  <c r="D45" i="12" s="1"/>
  <c r="W10" i="4"/>
  <c r="D16" i="12" s="1"/>
  <c r="W18" i="4"/>
  <c r="D11" i="12" s="1"/>
  <c r="W26" i="4"/>
  <c r="D6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8" i="12" s="1"/>
  <c r="W20" i="4"/>
  <c r="D14" i="12" s="1"/>
  <c r="W7" i="4"/>
  <c r="D26" i="12" s="1"/>
  <c r="W15" i="4"/>
  <c r="D10" i="12" s="1"/>
  <c r="W23" i="4"/>
  <c r="D25" i="12" s="1"/>
  <c r="W31" i="4"/>
  <c r="D33" i="12" s="1"/>
  <c r="W39" i="4"/>
  <c r="D41" i="12" s="1"/>
  <c r="W9" i="4"/>
  <c r="D9" i="12" s="1"/>
  <c r="W5" i="4"/>
  <c r="D12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N40" i="1"/>
  <c r="M4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M48" i="1"/>
  <c r="B46" i="1"/>
  <c r="O48" i="1"/>
  <c r="K43" i="1" l="1"/>
  <c r="D23" i="12"/>
  <c r="Y40" i="4" a="1"/>
  <c r="Y40" i="4" s="1"/>
  <c r="F42" i="12" s="1"/>
  <c r="Y38" i="4" a="1"/>
  <c r="Y38" i="4" s="1"/>
  <c r="F40" i="12" s="1"/>
  <c r="Y27" i="4" a="1"/>
  <c r="Y27" i="4" s="1"/>
  <c r="F15" i="12" s="1"/>
  <c r="Y19" i="4" a="1"/>
  <c r="Y19" i="4" s="1"/>
  <c r="F17" i="12" s="1"/>
  <c r="Y13" i="4" a="1"/>
  <c r="Y13" i="4" s="1"/>
  <c r="F19" i="12" s="1"/>
  <c r="Y35" i="4" a="1"/>
  <c r="Y35" i="4" s="1"/>
  <c r="F37" i="12" s="1"/>
  <c r="Y42" i="4" a="1"/>
  <c r="Y42" i="4" s="1"/>
  <c r="F44" i="12" s="1"/>
  <c r="Y26" i="4" a="1"/>
  <c r="Y26" i="4" s="1"/>
  <c r="F6" i="12" s="1"/>
  <c r="Y30" i="4" a="1"/>
  <c r="Y30" i="4" s="1"/>
  <c r="F32" i="12" s="1"/>
  <c r="Y37" i="4" a="1"/>
  <c r="Y37" i="4" s="1"/>
  <c r="F39" i="12" s="1"/>
  <c r="Y8" i="4" a="1"/>
  <c r="Y8" i="4" s="1"/>
  <c r="F29" i="12" s="1"/>
  <c r="Y14" i="4" a="1"/>
  <c r="Y14" i="4" s="1"/>
  <c r="F24" i="12" s="1"/>
  <c r="Y9" i="4" a="1"/>
  <c r="Y9" i="4" s="1"/>
  <c r="F9" i="12" s="1"/>
  <c r="Y10" i="4" a="1"/>
  <c r="Y10" i="4" s="1"/>
  <c r="F16" i="12" s="1"/>
  <c r="Y17" i="4" a="1"/>
  <c r="Y17" i="4" s="1"/>
  <c r="F7" i="12" s="1"/>
  <c r="Y34" i="4" a="1"/>
  <c r="Y34" i="4" s="1"/>
  <c r="F36" i="12" s="1"/>
  <c r="Y20" i="4" a="1"/>
  <c r="Y20" i="4" s="1"/>
  <c r="F14" i="12" s="1"/>
  <c r="Y25" i="4" a="1"/>
  <c r="Y25" i="4" s="1"/>
  <c r="F27" i="12" s="1"/>
  <c r="Y18" i="4" a="1"/>
  <c r="Y18" i="4" s="1"/>
  <c r="F11" i="12" s="1"/>
  <c r="Y15" i="4" a="1"/>
  <c r="Y15" i="4" s="1"/>
  <c r="F10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2" i="12" s="1"/>
  <c r="Y6" i="4" a="1"/>
  <c r="Y6" i="4" s="1"/>
  <c r="F18" i="12" s="1"/>
  <c r="Y28" i="4" a="1"/>
  <c r="Y28" i="4" s="1"/>
  <c r="F30" i="12" s="1"/>
  <c r="Y16" i="4" a="1"/>
  <c r="Y16" i="4" s="1"/>
  <c r="F20" i="12" s="1"/>
  <c r="Y43" i="4" a="1"/>
  <c r="Y43" i="4" s="1"/>
  <c r="F45" i="12" s="1"/>
  <c r="Y21" i="4" a="1"/>
  <c r="Y21" i="4" s="1"/>
  <c r="F28" i="12" s="1"/>
  <c r="Y7" i="4" a="1"/>
  <c r="Y7" i="4" s="1"/>
  <c r="F26" i="12" s="1"/>
  <c r="Y31" i="4" a="1"/>
  <c r="Y31" i="4" s="1"/>
  <c r="F33" i="12" s="1"/>
  <c r="Y36" i="4" a="1"/>
  <c r="Y36" i="4" s="1"/>
  <c r="F38" i="12" s="1"/>
  <c r="Y5" i="4" a="1"/>
  <c r="Y5" i="4" s="1"/>
  <c r="F12" i="12" s="1"/>
  <c r="Y4" i="4" a="1"/>
  <c r="Y4" i="4" s="1"/>
  <c r="F23" i="12" s="1"/>
  <c r="Y12" i="4" a="1"/>
  <c r="Y12" i="4" s="1"/>
  <c r="F8" i="12" s="1"/>
  <c r="Y22" i="4" a="1"/>
  <c r="Y22" i="4" s="1"/>
  <c r="F21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<sst xmlns="http://schemas.openxmlformats.org/spreadsheetml/2006/main" count="512" uniqueCount="340">
  <si>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</si>
  <si>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</si>
  <si>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</si>
  <si>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</si>
  <si>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</si>
  <si>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</si>
  <si>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</si>
  <si>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</si>
  <si>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</si>
  <si>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</si>
  <si>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</si>
  <si>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</si>
  <si>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</si>
  <si>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</si>
  <si>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</si>
  <si>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</si>
  <si>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</si>
  <si>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</si>
  <si>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</si>
  <si>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</si>
  <si>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</si>
  <si>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</si>
  <si>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</si>
  <si>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</si>
  <si>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</si>
  <si>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</si>
  <si>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</si>
  <si>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</si>
  <si>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</si>
  <si>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</si>
  <si>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</si>
  <si>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</si>
  <si>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</si>
  <si>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</si>
  <si>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</si>
  <si>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</si>
  <si>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</si>
  <si>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</si>
  <si>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</si>
  <si>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</si>
  <si>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</si>
  <si>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</si>
  <si>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</si>
  <si>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</si>
  <si>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</si>
  <si>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</si>
  <si>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</si>
  <si>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</si>
  <si>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</si>
  <si>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</si>
  <si>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</si>
  <si>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</si>
  <si>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</si>
  <si>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</si>
  <si>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</si>
  <si>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</si>
  <si>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</si>
  <si>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</si>
  <si>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</si>
  <si>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</si>
  <si>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</si>
  <si>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</si>
  <si>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</si>
  <si>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</si>
  <si>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</si>
  <si>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</si>
  <si>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</si>
  <si>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</si>
  <si>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</si>
  <si>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</si>
  <si>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</si>
  <si>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</si>
  <si>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</si>
  <si>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</si>
  <si>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</si>
  <si>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</si>
  <si>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</si>
  <si>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</si>
  <si>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</si>
  <si>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</si>
  <si>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</si>
  <si>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</si>
  <si>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</si>
  <si>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</si>
  <si>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</si>
  <si>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</si>
  <si>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</si>
  <si>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</si>
  <si>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</si>
  <si>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</si>
  <si>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</si>
  <si>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</si>
  <si>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</si>
  <si>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</si>
  <si>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</si>
  <si>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</si>
  <si>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</si>
  <si>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</si>
  <si>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</si>
  <si>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</si>
  <si>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</si>
  <si>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</si>
  <si>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</si>
  <si>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</si>
  <si>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</si>
  <si>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</si>
  <si>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</si>
  <si>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</si>
  <si>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</si>
  <si>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</si>
  <si>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</si>
  <si>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</si>
  <si>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</si>
  <si>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</si>
  <si>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</si>
  <si>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</si>
  <si>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</si>
  <si>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</si>
  <si>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</si>
  <si>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</si>
  <si>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</si>
  <si>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</si>
  <si>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</si>
  <si>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</si>
  <si>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</si>
  <si>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</si>
  <si>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</si>
  <si>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</si>
  <si>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</si>
  <si>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</si>
  <si>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</si>
  <si>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</si>
  <si>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</si>
  <si>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</si>
  <si>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</si>
  <si>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</si>
  <si>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</si>
  <si>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</si>
  <si>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</si>
  <si>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</si>
  <si>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</si>
  <si>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</si>
  <si>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</si>
  <si>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</si>
  <si>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</si>
  <si>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</si>
  <si>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</si>
  <si>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</si>
  <si>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</si>
  <si>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</si>
  <si>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</si>
  <si>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</si>
  <si>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</si>
  <si>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</si>
  <si>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</si>
  <si>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</si>
  <si>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</si>
  <si>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</si>
  <si>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</si>
  <si>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</si>
  <si>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</si>
  <si>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</si>
  <si>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</si>
  <si>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</si>
  <si>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</si>
  <si>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</si>
  <si>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</si>
  <si>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</si>
  <si>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</si>
  <si>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</si>
  <si>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</si>
  <si>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</si>
  <si>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</si>
  <si>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</si>
  <si>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</si>
  <si>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</si>
  <si>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</si>
  <si>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</si>
  <si>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</si>
  <si>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</si>
  <si>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</si>
  <si>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</si>
  <si>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</si>
  <si>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</si>
  <si>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</si>
  <si>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</si>
  <si>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</si>
  <si>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</si>
  <si>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</si>
  <si>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</si>
  <si>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</si>
  <si>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</si>
  <si>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</si>
  <si>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</si>
  <si>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</si>
  <si>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</si>
  <si>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</si>
  <si>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</si>
  <si>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</si>
  <si>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</si>
  <si>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</si>
  <si>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</si>
  <si>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</si>
  <si>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</si>
  <si>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</si>
  <si>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</si>
  <si>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</si>
  <si>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</si>
  <si>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</si>
  <si>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</si>
  <si>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</si>
  <si>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</si>
  <si>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</si>
  <si>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</si>
  <si>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</si>
  <si>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</si>
  <si>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</si>
  <si>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</si>
  <si>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</si>
  <si>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</si>
  <si>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</si>
  <si>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</si>
  <si>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</si>
  <si>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</si>
  <si>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</si>
  <si>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</si>
  <si>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</si>
  <si>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</si>
  <si>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</si>
  <si>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</si>
  <si>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</si>
  <si>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</si>
  <si>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</si>
  <si>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</si>
  <si>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</si>
  <si>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</si>
  <si>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</si>
  <si>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</si>
  <si>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</si>
  <si>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</si>
  <si>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</si>
  <si>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</si>
  <si>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</si>
  <si>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</si>
  <si>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</si>
  <si>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</si>
  <si>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</si>
  <si>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</si>
  <si>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</si>
  <si>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</si>
  <si>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</si>
  <si>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</si>
  <si>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</si>
  <si>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</si>
  <si>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</si>
  <si>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</si>
  <si>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</si>
  <si>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</si>
  <si>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</si>
  <si>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</si>
  <si>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</si>
  <si>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</si>
  <si>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</si>
  <si>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</si>
  <si>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</si>
  <si>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</si>
  <si>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</si>
  <si>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</si>
  <si>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</si>
  <si>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</si>
  <si>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</si>
  <si>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</si>
  <si>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</si>
  <si>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</si>
  <si>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</si>
  <si>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</si>
  <si>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</si>
  <si>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</si>
  <si>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</si>
  <si>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</si>
  <si>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</si>
  <si>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</si>
  <si>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</si>
  <si>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</si>
  <si>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</si>
  <si>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</si>
  <si>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</si>
  <si>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</si>
  <si>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</si>
  <si>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/>
  </si>
  <si>
    <t>الخامس أ للبنين</t>
  </si>
  <si>
    <t>ADAM BAKRI</t>
  </si>
  <si>
    <t>0414</t>
  </si>
  <si>
    <t>AHMAD FAUZI</t>
  </si>
  <si>
    <t>0415</t>
  </si>
  <si>
    <t>AHMAD NUR NGALIM</t>
  </si>
  <si>
    <t>0416</t>
  </si>
  <si>
    <t>BAYU DIRGANTARA</t>
  </si>
  <si>
    <t>0417</t>
  </si>
  <si>
    <t>DIAS PURNAMA YASA</t>
  </si>
  <si>
    <t>0418</t>
  </si>
  <si>
    <t>FATAHILLAH DANIAL</t>
  </si>
  <si>
    <t>0419</t>
  </si>
  <si>
    <t>GIBRAN PRADANA</t>
  </si>
  <si>
    <t>0420</t>
  </si>
  <si>
    <t>GILANG PAHRI AKBAR</t>
  </si>
  <si>
    <t>0421</t>
  </si>
  <si>
    <t>ILHAM HABIBIE</t>
  </si>
  <si>
    <t>0422</t>
  </si>
  <si>
    <t>MUHAMAD MARIO</t>
  </si>
  <si>
    <t>0423</t>
  </si>
  <si>
    <t>MUHAMMAD ARIEF RAHMAN</t>
  </si>
  <si>
    <t>0424</t>
  </si>
  <si>
    <t>MUHAMMAD FADHILAH ALBARI</t>
  </si>
  <si>
    <t>0425</t>
  </si>
  <si>
    <t>MUHAMMAD FAIZ FATHANNA'IM</t>
  </si>
  <si>
    <t>0426</t>
  </si>
  <si>
    <t>MUHAMMAD FAKHRI</t>
  </si>
  <si>
    <t>0427</t>
  </si>
  <si>
    <t>MUHAMMAD HAFIZ SIHABUDIN</t>
  </si>
  <si>
    <t>0428</t>
  </si>
  <si>
    <t>MUHAMMAD MUMU NAJMUDIN</t>
  </si>
  <si>
    <t>0429</t>
  </si>
  <si>
    <t>MUHAMMAD RHOMI FAHREZI</t>
  </si>
  <si>
    <t>0430</t>
  </si>
  <si>
    <t>MUHAMMAD RIZKI FAHREZA</t>
  </si>
  <si>
    <t>0431</t>
  </si>
  <si>
    <t>MUHAMMAD WILDAN KAMIL</t>
  </si>
  <si>
    <t>0432</t>
  </si>
  <si>
    <t>PANDU TRI KHUSMADEWANTARA</t>
  </si>
  <si>
    <t>0433</t>
  </si>
  <si>
    <t>SAMSUL MA'ARIF</t>
  </si>
  <si>
    <t>0434</t>
  </si>
  <si>
    <t>SYAGHGHAF HAJID ABYAN</t>
  </si>
  <si>
    <t>0435</t>
  </si>
  <si>
    <t>WILDAN AGNA ABABIL</t>
  </si>
  <si>
    <t>0436</t>
  </si>
  <si>
    <t>ZEN KEMAL AISY</t>
  </si>
  <si>
    <t>0437</t>
  </si>
  <si>
    <t>الأستاذ زين العاشقين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</si>
</sst>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0" fillId="0" borderId="2" xfId="0" quotePrefix="1" applyBorder="1" applyProtection="1">
      <protection locked="0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4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4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A1C5BF2-EF70-EC32-3B81-73B3BC48C1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5DB59E5A-493F-88D2-41C7-F4C393E9D8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D399BCE1-A23F-5BD7-AD9C-D46FFBE705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1A34671F-1F0E-36A3-13EA-124AB4A5E7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CDD535AC-D780-947E-F1E3-6DDC8BF810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11E69AD3-A787-ABBA-F868-16F44A0682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889000</xdr:colOff>
      <xdr:row>53</xdr:row>
      <xdr:rowOff>74707</xdr:rowOff>
    </xdr:from>
    <xdr:to>
      <xdr:col>14</xdr:col>
      <xdr:colOff>381182</xdr:colOff>
      <xdr:row>57</xdr:row>
      <xdr:rowOff>188330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D2F9EC13-FD00-4E28-8BBC-D2B37AC80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3070412" y="10227236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Normal="100" workbookViewId="0">
      <selection activeCell="L19" sqref="L19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17" t="s">
        <v>174</v>
      </c>
      <c r="D1" s="117"/>
      <c r="E1" s="117"/>
      <c r="F1" s="117"/>
      <c r="G1" s="117"/>
    </row>
    <row r="2" spans="1:12" x14ac:dyDescent="0.35">
      <c r="C2" s="117"/>
      <c r="D2" s="117"/>
      <c r="E2" s="117"/>
      <c r="F2" s="117"/>
      <c r="G2" s="117"/>
    </row>
    <row r="3" spans="1:12" ht="7.5" customHeight="1" x14ac:dyDescent="0.35">
      <c r="C3" s="118"/>
      <c r="D3" s="119"/>
      <c r="E3" s="119"/>
      <c r="F3" s="119"/>
      <c r="G3" s="120"/>
    </row>
    <row r="4" spans="1:12" ht="21" x14ac:dyDescent="0.35">
      <c r="A4" s="20" t="s">
        <v>97</v>
      </c>
      <c r="B4" s="20" t="str">
        <f>CONCATENATE(F4," ",E4," ",C4)</f>
        <v>الصف  : الخامس أ للبنين</v>
      </c>
      <c r="C4" s="122" t="s">
        <v>290</v>
      </c>
      <c r="D4" s="122"/>
      <c r="E4" s="122" t="s">
        <v>155</v>
      </c>
      <c r="F4" s="58" t="s">
        <v>154</v>
      </c>
      <c r="G4" s="116">
        <v>1</v>
      </c>
    </row>
    <row r="5" spans="1:12" x14ac:dyDescent="0.35">
      <c r="C5" s="122"/>
      <c r="D5" s="122"/>
      <c r="E5" s="122"/>
      <c r="F5" s="57" t="s">
        <v>159</v>
      </c>
      <c r="G5" s="116"/>
    </row>
    <row r="6" spans="1:12" ht="7" customHeight="1" x14ac:dyDescent="0.35">
      <c r="C6" s="125"/>
      <c r="D6" s="125"/>
      <c r="E6" s="125"/>
      <c r="F6" s="125"/>
      <c r="G6" s="125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3" t="s">
        <v>281</v>
      </c>
      <c r="D7" s="123"/>
      <c r="E7" s="122" t="s">
        <v>155</v>
      </c>
      <c r="F7" s="58" t="s">
        <v>166</v>
      </c>
      <c r="G7" s="116">
        <v>2</v>
      </c>
    </row>
    <row r="8" spans="1:12" ht="21.65" customHeight="1" x14ac:dyDescent="0.35">
      <c r="C8" s="123"/>
      <c r="D8" s="123"/>
      <c r="E8" s="122"/>
      <c r="F8" s="57" t="s">
        <v>167</v>
      </c>
      <c r="G8" s="116"/>
    </row>
    <row r="9" spans="1:12" ht="7" customHeight="1" x14ac:dyDescent="0.35">
      <c r="C9" s="125"/>
      <c r="D9" s="125"/>
      <c r="E9" s="125"/>
      <c r="F9" s="125"/>
      <c r="G9" s="125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26" t="s">
        <v>282</v>
      </c>
      <c r="D10" s="126"/>
      <c r="E10" s="122" t="s">
        <v>155</v>
      </c>
      <c r="F10" s="56" t="s">
        <v>156</v>
      </c>
      <c r="G10" s="116">
        <v>3</v>
      </c>
    </row>
    <row r="11" spans="1:12" ht="26.15" customHeight="1" x14ac:dyDescent="0.35">
      <c r="B11" s="111" t="str">
        <f>CONCATENATE(C10," ","م")</f>
        <v>٢٠٢٤ - ٢٠٢٥ م</v>
      </c>
      <c r="C11" s="124" t="s">
        <v>283</v>
      </c>
      <c r="D11" s="124"/>
      <c r="E11" s="122"/>
      <c r="F11" s="57" t="s">
        <v>158</v>
      </c>
      <c r="G11" s="116"/>
    </row>
    <row r="12" spans="1:12" ht="6.65" customHeight="1" x14ac:dyDescent="0.35">
      <c r="B12" s="111" t="str">
        <f>CONCATENATE(C11," ","ه")</f>
        <v>١٤٤٥ - ١٤٤٦ ه</v>
      </c>
      <c r="C12" s="125"/>
      <c r="D12" s="125"/>
      <c r="E12" s="125"/>
      <c r="F12" s="125"/>
      <c r="G12" s="125"/>
    </row>
    <row r="13" spans="1:12" ht="21" x14ac:dyDescent="0.5">
      <c r="C13" s="129" t="s">
        <v>284</v>
      </c>
      <c r="D13" s="130"/>
      <c r="E13" s="122" t="s">
        <v>155</v>
      </c>
      <c r="F13" s="56" t="s">
        <v>157</v>
      </c>
      <c r="G13" s="116">
        <v>4</v>
      </c>
      <c r="K13" s="54"/>
    </row>
    <row r="14" spans="1:12" ht="22.5" customHeight="1" x14ac:dyDescent="0.35">
      <c r="C14" s="130" t="s">
        <v>285</v>
      </c>
      <c r="D14" s="130"/>
      <c r="E14" s="122"/>
      <c r="F14" s="57" t="s">
        <v>160</v>
      </c>
      <c r="G14" s="116"/>
      <c r="K14" s="54"/>
    </row>
    <row r="15" spans="1:12" ht="6" customHeight="1" x14ac:dyDescent="0.35">
      <c r="C15" s="125"/>
      <c r="D15" s="125"/>
      <c r="E15" s="125"/>
      <c r="F15" s="125"/>
      <c r="G15" s="125"/>
    </row>
    <row r="16" spans="1:12" ht="21" x14ac:dyDescent="0.5">
      <c r="C16" s="121" t="s">
        <v>288</v>
      </c>
      <c r="D16" s="121"/>
      <c r="E16" s="122" t="s">
        <v>155</v>
      </c>
      <c r="F16" s="56" t="s">
        <v>162</v>
      </c>
      <c r="G16" s="116">
        <v>5</v>
      </c>
      <c r="K16" s="54"/>
      <c r="L16" s="54"/>
    </row>
    <row r="17" spans="3:12" ht="14.5" customHeight="1" x14ac:dyDescent="0.35">
      <c r="C17" s="121"/>
      <c r="D17" s="121"/>
      <c r="E17" s="122"/>
      <c r="F17" s="57" t="s">
        <v>164</v>
      </c>
      <c r="G17" s="116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7" t="s">
        <v>339</v>
      </c>
      <c r="D19" s="127"/>
      <c r="E19" s="122" t="s">
        <v>155</v>
      </c>
      <c r="F19" s="56" t="s">
        <v>163</v>
      </c>
      <c r="G19" s="116">
        <v>6</v>
      </c>
    </row>
    <row r="20" spans="3:12" ht="15" customHeight="1" x14ac:dyDescent="0.35">
      <c r="C20" s="127"/>
      <c r="D20" s="127"/>
      <c r="E20" s="122"/>
      <c r="F20" s="55" t="s">
        <v>165</v>
      </c>
      <c r="G20" s="116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7" sqref="B7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54296875" style="20" customWidth="1"/>
    <col min="5" max="16384" width="8.7265625" style="20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287</v>
      </c>
    </row>
    <row r="2" spans="1:4" ht="18" customHeight="1" x14ac:dyDescent="0.35">
      <c r="A2" s="6">
        <v>1</v>
      </c>
      <c r="B2" s="113" t="s">
        <v>291</v>
      </c>
      <c r="C2" s="114" t="s">
        <v>292</v>
      </c>
      <c r="D2" s="115" t="s">
        <v>289</v>
      </c>
    </row>
    <row r="3" spans="1:4" ht="18" customHeight="1" x14ac:dyDescent="0.35">
      <c r="A3" s="6">
        <v>2</v>
      </c>
      <c r="B3" s="113" t="s">
        <v>293</v>
      </c>
      <c r="C3" s="114" t="s">
        <v>294</v>
      </c>
      <c r="D3" s="115" t="s">
        <v>97</v>
      </c>
    </row>
    <row r="4" spans="1:4" ht="18" customHeight="1" x14ac:dyDescent="0.35">
      <c r="A4" s="6">
        <v>3</v>
      </c>
      <c r="B4" s="113" t="s">
        <v>295</v>
      </c>
      <c r="C4" s="114" t="s">
        <v>296</v>
      </c>
      <c r="D4" s="115" t="s">
        <v>97</v>
      </c>
    </row>
    <row r="5" spans="1:4" ht="18" customHeight="1" x14ac:dyDescent="0.35">
      <c r="A5" s="6">
        <v>4</v>
      </c>
      <c r="B5" s="113" t="s">
        <v>297</v>
      </c>
      <c r="C5" s="114" t="s">
        <v>298</v>
      </c>
      <c r="D5" s="115" t="s">
        <v>97</v>
      </c>
    </row>
    <row r="6" spans="1:4" ht="18" customHeight="1" x14ac:dyDescent="0.35">
      <c r="A6" s="6">
        <v>5</v>
      </c>
      <c r="B6" s="113" t="s">
        <v>299</v>
      </c>
      <c r="C6" s="114" t="s">
        <v>300</v>
      </c>
      <c r="D6" s="115" t="s">
        <v>97</v>
      </c>
    </row>
    <row r="7" spans="1:4" ht="18" customHeight="1" x14ac:dyDescent="0.35">
      <c r="A7" s="6">
        <v>6</v>
      </c>
      <c r="B7" s="113" t="s">
        <v>301</v>
      </c>
      <c r="C7" s="114" t="s">
        <v>302</v>
      </c>
      <c r="D7" s="115" t="s">
        <v>97</v>
      </c>
    </row>
    <row r="8" spans="1:4" ht="18" customHeight="1" x14ac:dyDescent="0.35">
      <c r="A8" s="6">
        <v>7</v>
      </c>
      <c r="B8" s="113" t="s">
        <v>303</v>
      </c>
      <c r="C8" s="114" t="s">
        <v>304</v>
      </c>
      <c r="D8" s="115" t="s">
        <v>97</v>
      </c>
    </row>
    <row r="9" spans="1:4" ht="18" customHeight="1" x14ac:dyDescent="0.35">
      <c r="A9" s="6">
        <v>8</v>
      </c>
      <c r="B9" s="113" t="s">
        <v>305</v>
      </c>
      <c r="C9" s="114" t="s">
        <v>306</v>
      </c>
      <c r="D9" s="115" t="s">
        <v>97</v>
      </c>
    </row>
    <row r="10" spans="1:4" ht="18" customHeight="1" x14ac:dyDescent="0.35">
      <c r="A10" s="6">
        <v>9</v>
      </c>
      <c r="B10" s="113" t="s">
        <v>307</v>
      </c>
      <c r="C10" s="114" t="s">
        <v>308</v>
      </c>
      <c r="D10" s="115" t="s">
        <v>97</v>
      </c>
    </row>
    <row r="11" spans="1:4" ht="18" customHeight="1" x14ac:dyDescent="0.35">
      <c r="A11" s="6">
        <v>10</v>
      </c>
      <c r="B11" s="113" t="s">
        <v>309</v>
      </c>
      <c r="C11" s="114" t="s">
        <v>310</v>
      </c>
      <c r="D11" s="115" t="s">
        <v>97</v>
      </c>
    </row>
    <row r="12" spans="1:4" ht="18" customHeight="1" x14ac:dyDescent="0.35">
      <c r="A12" s="6">
        <v>11</v>
      </c>
      <c r="B12" s="113" t="s">
        <v>311</v>
      </c>
      <c r="C12" s="114" t="s">
        <v>312</v>
      </c>
      <c r="D12" s="115" t="s">
        <v>97</v>
      </c>
    </row>
    <row r="13" spans="1:4" ht="18" customHeight="1" x14ac:dyDescent="0.35">
      <c r="A13" s="6">
        <v>12</v>
      </c>
      <c r="B13" s="113" t="s">
        <v>313</v>
      </c>
      <c r="C13" s="114" t="s">
        <v>314</v>
      </c>
      <c r="D13" s="115" t="s">
        <v>97</v>
      </c>
    </row>
    <row r="14" spans="1:4" ht="18" customHeight="1" x14ac:dyDescent="0.35">
      <c r="A14" s="6">
        <v>13</v>
      </c>
      <c r="B14" s="113" t="s">
        <v>315</v>
      </c>
      <c r="C14" s="114" t="s">
        <v>316</v>
      </c>
      <c r="D14" s="115" t="s">
        <v>97</v>
      </c>
    </row>
    <row r="15" spans="1:4" ht="18" customHeight="1" x14ac:dyDescent="0.35">
      <c r="A15" s="6">
        <v>14</v>
      </c>
      <c r="B15" s="113" t="s">
        <v>317</v>
      </c>
      <c r="C15" s="114" t="s">
        <v>318</v>
      </c>
      <c r="D15" s="115" t="s">
        <v>97</v>
      </c>
    </row>
    <row r="16" spans="1:4" ht="18" customHeight="1" x14ac:dyDescent="0.35">
      <c r="A16" s="6">
        <v>15</v>
      </c>
      <c r="B16" s="113" t="s">
        <v>319</v>
      </c>
      <c r="C16" s="114" t="s">
        <v>320</v>
      </c>
      <c r="D16" s="115" t="s">
        <v>97</v>
      </c>
    </row>
    <row r="17" spans="1:4" ht="18" customHeight="1" x14ac:dyDescent="0.35">
      <c r="A17" s="6">
        <v>16</v>
      </c>
      <c r="B17" s="113" t="s">
        <v>321</v>
      </c>
      <c r="C17" s="114" t="s">
        <v>322</v>
      </c>
      <c r="D17" s="115" t="s">
        <v>97</v>
      </c>
    </row>
    <row r="18" spans="1:4" ht="18" customHeight="1" x14ac:dyDescent="0.35">
      <c r="A18" s="6">
        <v>17</v>
      </c>
      <c r="B18" s="113" t="s">
        <v>323</v>
      </c>
      <c r="C18" s="114" t="s">
        <v>324</v>
      </c>
      <c r="D18" s="115" t="s">
        <v>97</v>
      </c>
    </row>
    <row r="19" spans="1:4" ht="18" customHeight="1" x14ac:dyDescent="0.35">
      <c r="A19" s="6">
        <v>18</v>
      </c>
      <c r="B19" s="113" t="s">
        <v>325</v>
      </c>
      <c r="C19" s="114" t="s">
        <v>326</v>
      </c>
      <c r="D19" s="115" t="s">
        <v>97</v>
      </c>
    </row>
    <row r="20" spans="1:4" ht="18" customHeight="1" x14ac:dyDescent="0.35">
      <c r="A20" s="6">
        <v>19</v>
      </c>
      <c r="B20" s="113" t="s">
        <v>327</v>
      </c>
      <c r="C20" s="114" t="s">
        <v>328</v>
      </c>
      <c r="D20" s="115" t="s">
        <v>97</v>
      </c>
    </row>
    <row r="21" spans="1:4" ht="18" customHeight="1" x14ac:dyDescent="0.35">
      <c r="A21" s="6">
        <v>20</v>
      </c>
      <c r="B21" s="113" t="s">
        <v>329</v>
      </c>
      <c r="C21" s="114" t="s">
        <v>330</v>
      </c>
      <c r="D21" s="115" t="s">
        <v>97</v>
      </c>
    </row>
    <row r="22" spans="1:4" ht="18" customHeight="1" x14ac:dyDescent="0.35">
      <c r="A22" s="6">
        <v>21</v>
      </c>
      <c r="B22" s="113" t="s">
        <v>331</v>
      </c>
      <c r="C22" s="114" t="s">
        <v>332</v>
      </c>
      <c r="D22" s="115" t="s">
        <v>97</v>
      </c>
    </row>
    <row r="23" spans="1:4" ht="18" customHeight="1" x14ac:dyDescent="0.35">
      <c r="A23" s="6">
        <v>22</v>
      </c>
      <c r="B23" s="113" t="s">
        <v>333</v>
      </c>
      <c r="C23" s="114" t="s">
        <v>334</v>
      </c>
      <c r="D23" s="115" t="s">
        <v>97</v>
      </c>
    </row>
    <row r="24" spans="1:4" ht="18" customHeight="1" x14ac:dyDescent="0.35">
      <c r="A24" s="6">
        <v>23</v>
      </c>
      <c r="B24" s="113" t="s">
        <v>335</v>
      </c>
      <c r="C24" s="114" t="s">
        <v>336</v>
      </c>
      <c r="D24" s="115" t="s">
        <v>97</v>
      </c>
    </row>
    <row r="25" spans="1:4" ht="18" customHeight="1" x14ac:dyDescent="0.35">
      <c r="A25" s="6">
        <v>24</v>
      </c>
      <c r="B25" s="113" t="s">
        <v>337</v>
      </c>
      <c r="C25" s="114" t="s">
        <v>338</v>
      </c>
      <c r="D25" s="115" t="s">
        <v>97</v>
      </c>
    </row>
    <row r="26" spans="1:4" ht="18" customHeight="1" x14ac:dyDescent="0.35">
      <c r="A26" s="6">
        <v>25</v>
      </c>
      <c r="B26" s="113"/>
      <c r="C26" s="114"/>
      <c r="D26" s="115" t="s">
        <v>97</v>
      </c>
    </row>
    <row r="27" spans="1:4" ht="18" customHeight="1" x14ac:dyDescent="0.35">
      <c r="A27" s="6">
        <v>26</v>
      </c>
      <c r="B27" s="113"/>
      <c r="C27" s="114"/>
      <c r="D27" s="115" t="s">
        <v>97</v>
      </c>
    </row>
    <row r="28" spans="1:4" ht="18" customHeight="1" x14ac:dyDescent="0.35">
      <c r="A28" s="6">
        <v>27</v>
      </c>
      <c r="B28" s="113"/>
      <c r="C28" s="114"/>
      <c r="D28" s="115" t="s">
        <v>97</v>
      </c>
    </row>
    <row r="29" spans="1:4" ht="18" customHeight="1" x14ac:dyDescent="0.35">
      <c r="A29" s="6">
        <v>28</v>
      </c>
      <c r="B29" s="113"/>
      <c r="C29" s="114"/>
      <c r="D29" s="115" t="s">
        <v>97</v>
      </c>
    </row>
    <row r="30" spans="1:4" ht="18" customHeight="1" x14ac:dyDescent="0.35">
      <c r="A30" s="6">
        <v>29</v>
      </c>
      <c r="B30" s="113"/>
      <c r="C30" s="114"/>
      <c r="D30" s="115" t="s">
        <v>97</v>
      </c>
    </row>
    <row r="31" spans="1:4" ht="18" customHeight="1" x14ac:dyDescent="0.35">
      <c r="A31" s="6">
        <v>30</v>
      </c>
      <c r="B31" s="113"/>
      <c r="C31" s="114"/>
      <c r="D31" s="115" t="s">
        <v>97</v>
      </c>
    </row>
    <row r="32" spans="1:4" ht="18" customHeight="1" x14ac:dyDescent="0.35">
      <c r="A32" s="6">
        <v>31</v>
      </c>
      <c r="B32" s="113"/>
      <c r="C32" s="113"/>
      <c r="D32" s="115" t="s">
        <v>97</v>
      </c>
    </row>
    <row r="33" spans="1:4" ht="18" customHeight="1" x14ac:dyDescent="0.35">
      <c r="A33" s="6">
        <v>32</v>
      </c>
      <c r="B33" s="113"/>
      <c r="C33" s="113"/>
      <c r="D33" s="115" t="s">
        <v>97</v>
      </c>
    </row>
    <row r="34" spans="1:4" ht="18" customHeight="1" x14ac:dyDescent="0.35">
      <c r="A34" s="6">
        <v>33</v>
      </c>
      <c r="B34" s="113"/>
      <c r="C34" s="113"/>
      <c r="D34" s="115" t="s">
        <v>97</v>
      </c>
    </row>
    <row r="35" spans="1:4" ht="18" customHeight="1" x14ac:dyDescent="0.35">
      <c r="A35" s="6">
        <v>34</v>
      </c>
      <c r="B35" s="113"/>
      <c r="C35" s="113"/>
      <c r="D35" s="115" t="s">
        <v>97</v>
      </c>
    </row>
    <row r="36" spans="1:4" ht="18" customHeight="1" x14ac:dyDescent="0.35">
      <c r="A36" s="6">
        <v>35</v>
      </c>
      <c r="B36" s="113"/>
      <c r="C36" s="113"/>
      <c r="D36" s="115" t="s">
        <v>97</v>
      </c>
    </row>
    <row r="37" spans="1:4" ht="18" customHeight="1" x14ac:dyDescent="0.35">
      <c r="A37" s="6">
        <v>36</v>
      </c>
      <c r="B37" s="113"/>
      <c r="C37" s="113"/>
      <c r="D37" s="115" t="s">
        <v>97</v>
      </c>
    </row>
    <row r="38" spans="1:4" ht="18" customHeight="1" x14ac:dyDescent="0.35">
      <c r="A38" s="6">
        <v>37</v>
      </c>
      <c r="B38" s="113"/>
      <c r="C38" s="113"/>
      <c r="D38" s="115" t="s">
        <v>97</v>
      </c>
    </row>
    <row r="39" spans="1:4" ht="18" customHeight="1" x14ac:dyDescent="0.35">
      <c r="A39" s="6">
        <v>38</v>
      </c>
      <c r="B39" s="113"/>
      <c r="C39" s="113"/>
      <c r="D39" s="115" t="s">
        <v>97</v>
      </c>
    </row>
    <row r="40" spans="1:4" ht="18" customHeight="1" x14ac:dyDescent="0.35">
      <c r="A40" s="6">
        <v>39</v>
      </c>
      <c r="B40" s="113"/>
      <c r="C40" s="113"/>
      <c r="D40" s="115" t="s">
        <v>97</v>
      </c>
    </row>
    <row r="41" spans="1:4" ht="18" customHeight="1" x14ac:dyDescent="0.35">
      <c r="A41" s="6">
        <v>40</v>
      </c>
      <c r="B41" s="113"/>
      <c r="C41" s="113"/>
      <c r="D41" s="115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zoomScaleNormal="100" workbookViewId="0">
      <selection activeCell="AI6" sqref="AI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3" width="4.26953125" bestFit="1" customWidth="1"/>
    <col min="24" max="24" width="5.1796875" bestFit="1" customWidth="1"/>
    <col min="25" max="33" width="4.1796875" bestFit="1" customWidth="1"/>
    <col min="34" max="34" width="5.1796875" bestFit="1" customWidth="1"/>
    <col min="35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7" t="str">
        <f>'Data Siswa'!B2</f>
        <v>ADAM BAKRI</v>
      </c>
      <c r="C2" s="8" t="str">
        <f>'Data Siswa'!C2</f>
        <v>0414</v>
      </c>
      <c r="D2" s="15">
        <v>6</v>
      </c>
      <c r="E2" s="15">
        <v>4</v>
      </c>
      <c r="F2" s="15">
        <v>5</v>
      </c>
      <c r="G2" s="15">
        <v>4</v>
      </c>
      <c r="H2" s="15">
        <v>4.5</v>
      </c>
      <c r="I2" s="15">
        <v>6</v>
      </c>
      <c r="J2" s="15">
        <v>7</v>
      </c>
      <c r="K2" s="15">
        <v>4.5</v>
      </c>
      <c r="L2" s="15">
        <v>4</v>
      </c>
      <c r="M2" s="15">
        <v>6</v>
      </c>
      <c r="N2" s="15">
        <v>6</v>
      </c>
      <c r="O2" s="15">
        <v>6.5</v>
      </c>
      <c r="P2" s="15">
        <v>7.5</v>
      </c>
      <c r="Q2" s="15">
        <v>5</v>
      </c>
      <c r="R2" s="15">
        <v>4</v>
      </c>
      <c r="S2" s="15">
        <v>6</v>
      </c>
      <c r="T2" s="15">
        <v>6</v>
      </c>
      <c r="U2" s="15">
        <v>6</v>
      </c>
      <c r="V2" s="15">
        <v>5</v>
      </c>
      <c r="W2" s="15">
        <v>7</v>
      </c>
      <c r="X2" s="15">
        <v>7</v>
      </c>
      <c r="Y2" s="15">
        <v>7.5</v>
      </c>
      <c r="Z2" s="15">
        <v>5</v>
      </c>
      <c r="AA2" s="15">
        <v>7</v>
      </c>
      <c r="AB2" s="15">
        <v>8</v>
      </c>
      <c r="AC2" s="15">
        <v>8</v>
      </c>
      <c r="AD2" s="15">
        <v>8</v>
      </c>
      <c r="AE2" s="110"/>
      <c r="AF2" s="110"/>
      <c r="AG2" s="110"/>
      <c r="AH2" s="15">
        <v>7.5</v>
      </c>
      <c r="AI2" s="15">
        <v>6</v>
      </c>
      <c r="AJ2" s="16">
        <f t="shared" ref="AJ2:AJ41" si="0">SUM(D2:AI2)</f>
        <v>174</v>
      </c>
      <c r="AK2" s="65">
        <f>AVERAGE(D2:AI2)</f>
        <v>6</v>
      </c>
    </row>
    <row r="3" spans="1:37" ht="15.5" x14ac:dyDescent="0.35">
      <c r="A3" s="8">
        <f>'Data Siswa'!A3</f>
        <v>2</v>
      </c>
      <c r="B3" s="77" t="str">
        <f>'Data Siswa'!B3</f>
        <v>AHMAD FAUZI</v>
      </c>
      <c r="C3" s="8" t="str">
        <f>'Data Siswa'!C3</f>
        <v>0415</v>
      </c>
      <c r="D3" s="15">
        <v>6</v>
      </c>
      <c r="E3" s="15">
        <v>7</v>
      </c>
      <c r="F3" s="15">
        <v>5</v>
      </c>
      <c r="G3" s="15">
        <v>5.5</v>
      </c>
      <c r="H3" s="15">
        <v>6.5</v>
      </c>
      <c r="I3" s="15">
        <v>7.5</v>
      </c>
      <c r="J3" s="15">
        <v>8</v>
      </c>
      <c r="K3" s="15">
        <v>4.5</v>
      </c>
      <c r="L3" s="15">
        <v>8</v>
      </c>
      <c r="M3" s="15">
        <v>5</v>
      </c>
      <c r="N3" s="15">
        <v>6.5</v>
      </c>
      <c r="O3" s="15">
        <v>6.5</v>
      </c>
      <c r="P3" s="15">
        <v>6</v>
      </c>
      <c r="Q3" s="15">
        <v>7</v>
      </c>
      <c r="R3" s="15">
        <v>4</v>
      </c>
      <c r="S3" s="15">
        <v>5</v>
      </c>
      <c r="T3" s="15">
        <v>6</v>
      </c>
      <c r="U3" s="15">
        <v>6</v>
      </c>
      <c r="V3" s="15">
        <v>5</v>
      </c>
      <c r="W3" s="15">
        <v>7</v>
      </c>
      <c r="X3" s="15">
        <v>7</v>
      </c>
      <c r="Y3" s="15">
        <v>7.5</v>
      </c>
      <c r="Z3" s="15">
        <v>7.5</v>
      </c>
      <c r="AA3" s="15">
        <v>7.5</v>
      </c>
      <c r="AB3" s="15">
        <v>8</v>
      </c>
      <c r="AC3" s="15">
        <v>8</v>
      </c>
      <c r="AD3" s="15">
        <v>7.5</v>
      </c>
      <c r="AE3" s="110"/>
      <c r="AF3" s="110"/>
      <c r="AG3" s="110"/>
      <c r="AH3" s="15">
        <v>7.5</v>
      </c>
      <c r="AI3" s="15">
        <v>6</v>
      </c>
      <c r="AJ3" s="16">
        <f t="shared" si="0"/>
        <v>188.5</v>
      </c>
      <c r="AK3" s="65">
        <f t="shared" ref="AK3:AK41" si="1">AVERAGE(D3:AI3)</f>
        <v>6.5</v>
      </c>
    </row>
    <row r="4" spans="1:37" ht="15.5" x14ac:dyDescent="0.35">
      <c r="A4" s="8">
        <f>'Data Siswa'!A4</f>
        <v>3</v>
      </c>
      <c r="B4" s="77" t="str">
        <f>'Data Siswa'!B4</f>
        <v>AHMAD NUR NGALIM</v>
      </c>
      <c r="C4" s="8" t="str">
        <f>'Data Siswa'!C4</f>
        <v>0416</v>
      </c>
      <c r="D4" s="15">
        <v>6</v>
      </c>
      <c r="E4" s="15">
        <v>5</v>
      </c>
      <c r="F4" s="15">
        <v>4.5</v>
      </c>
      <c r="G4" s="15">
        <v>4</v>
      </c>
      <c r="H4" s="15">
        <v>4.5</v>
      </c>
      <c r="I4" s="15">
        <v>6</v>
      </c>
      <c r="J4" s="15">
        <v>6.5</v>
      </c>
      <c r="K4" s="15">
        <v>4.5</v>
      </c>
      <c r="L4" s="15">
        <v>6.6</v>
      </c>
      <c r="M4" s="15">
        <v>5.5</v>
      </c>
      <c r="N4" s="15">
        <v>6.5</v>
      </c>
      <c r="O4" s="15">
        <v>6</v>
      </c>
      <c r="P4" s="15">
        <v>5.5</v>
      </c>
      <c r="Q4" s="15">
        <v>6.5</v>
      </c>
      <c r="R4" s="15">
        <v>4</v>
      </c>
      <c r="S4" s="15">
        <v>4</v>
      </c>
      <c r="T4" s="15">
        <v>6</v>
      </c>
      <c r="U4" s="15">
        <v>6</v>
      </c>
      <c r="V4" s="15">
        <v>4.5</v>
      </c>
      <c r="W4" s="15">
        <v>7</v>
      </c>
      <c r="X4" s="15">
        <v>7</v>
      </c>
      <c r="Y4" s="15">
        <v>8.5</v>
      </c>
      <c r="Z4" s="15">
        <v>7.5</v>
      </c>
      <c r="AA4" s="15">
        <v>7</v>
      </c>
      <c r="AB4" s="15">
        <v>8</v>
      </c>
      <c r="AC4" s="15">
        <v>8.5</v>
      </c>
      <c r="AD4" s="15">
        <v>7</v>
      </c>
      <c r="AE4" s="110"/>
      <c r="AF4" s="110"/>
      <c r="AG4" s="110"/>
      <c r="AH4" s="15">
        <v>7.5</v>
      </c>
      <c r="AI4" s="15">
        <v>6</v>
      </c>
      <c r="AJ4" s="16">
        <f t="shared" si="0"/>
        <v>176.1</v>
      </c>
      <c r="AK4" s="65">
        <f t="shared" si="1"/>
        <v>6.0724137931034479</v>
      </c>
    </row>
    <row r="5" spans="1:37" ht="15.5" x14ac:dyDescent="0.35">
      <c r="A5" s="8">
        <f>'Data Siswa'!A5</f>
        <v>4</v>
      </c>
      <c r="B5" s="77" t="str">
        <f>'Data Siswa'!B5</f>
        <v>BAYU DIRGANTARA</v>
      </c>
      <c r="C5" s="8" t="str">
        <f>'Data Siswa'!C5</f>
        <v>0417</v>
      </c>
      <c r="D5" s="15">
        <v>6</v>
      </c>
      <c r="E5" s="15">
        <v>5</v>
      </c>
      <c r="F5" s="15">
        <v>4.5</v>
      </c>
      <c r="G5" s="15">
        <v>4</v>
      </c>
      <c r="H5" s="15">
        <v>4</v>
      </c>
      <c r="I5" s="15">
        <v>4.5</v>
      </c>
      <c r="J5" s="15">
        <v>6.5</v>
      </c>
      <c r="K5" s="15">
        <v>5</v>
      </c>
      <c r="L5" s="15">
        <v>4.5</v>
      </c>
      <c r="M5" s="15">
        <v>5</v>
      </c>
      <c r="N5" s="15">
        <v>6</v>
      </c>
      <c r="O5" s="15">
        <v>6</v>
      </c>
      <c r="P5" s="15">
        <v>6</v>
      </c>
      <c r="Q5" s="15">
        <v>5.5</v>
      </c>
      <c r="R5" s="15">
        <v>4</v>
      </c>
      <c r="S5" s="15">
        <v>4</v>
      </c>
      <c r="T5" s="15">
        <v>6</v>
      </c>
      <c r="U5" s="15">
        <v>6</v>
      </c>
      <c r="V5" s="15">
        <v>4.5</v>
      </c>
      <c r="W5" s="15">
        <v>7</v>
      </c>
      <c r="X5" s="15">
        <v>7</v>
      </c>
      <c r="Y5" s="15">
        <v>8</v>
      </c>
      <c r="Z5" s="15">
        <v>6</v>
      </c>
      <c r="AA5" s="15">
        <v>7.5</v>
      </c>
      <c r="AB5" s="15">
        <v>8</v>
      </c>
      <c r="AC5" s="15">
        <v>8</v>
      </c>
      <c r="AD5" s="15">
        <v>8</v>
      </c>
      <c r="AE5" s="110"/>
      <c r="AF5" s="110"/>
      <c r="AG5" s="110"/>
      <c r="AH5" s="15">
        <v>8.5</v>
      </c>
      <c r="AI5" s="15">
        <v>6</v>
      </c>
      <c r="AJ5" s="16">
        <f t="shared" si="0"/>
        <v>171</v>
      </c>
      <c r="AK5" s="65">
        <f t="shared" si="1"/>
        <v>5.8965517241379306</v>
      </c>
    </row>
    <row r="6" spans="1:37" ht="15.5" x14ac:dyDescent="0.35">
      <c r="A6" s="8">
        <f>'Data Siswa'!A6</f>
        <v>5</v>
      </c>
      <c r="B6" s="77" t="str">
        <f>'Data Siswa'!B6</f>
        <v>DIAS PURNAMA YASA</v>
      </c>
      <c r="C6" s="8" t="str">
        <f>'Data Siswa'!C6</f>
        <v>0418</v>
      </c>
      <c r="D6" s="15">
        <v>6</v>
      </c>
      <c r="E6" s="15">
        <v>5</v>
      </c>
      <c r="F6" s="15"/>
      <c r="G6" s="15">
        <v>4</v>
      </c>
      <c r="H6" s="15">
        <v>4</v>
      </c>
      <c r="I6" s="15">
        <v>4</v>
      </c>
      <c r="J6" s="15">
        <v>5.5</v>
      </c>
      <c r="K6" s="15"/>
      <c r="L6" s="15"/>
      <c r="M6" s="15">
        <v>5</v>
      </c>
      <c r="N6" s="15"/>
      <c r="O6" s="15">
        <v>7</v>
      </c>
      <c r="P6" s="15">
        <v>5.5</v>
      </c>
      <c r="Q6" s="15">
        <v>4</v>
      </c>
      <c r="R6" s="15"/>
      <c r="S6" s="15"/>
      <c r="T6" s="15"/>
      <c r="U6" s="15"/>
      <c r="V6" s="15"/>
      <c r="W6" s="15"/>
      <c r="X6" s="15"/>
      <c r="Y6" s="15"/>
      <c r="Z6" s="15">
        <v>6</v>
      </c>
      <c r="AA6" s="15">
        <v>7.5</v>
      </c>
      <c r="AB6" s="15">
        <v>8</v>
      </c>
      <c r="AC6" s="15"/>
      <c r="AD6" s="15"/>
      <c r="AE6" s="110"/>
      <c r="AF6" s="110"/>
      <c r="AG6" s="110"/>
      <c r="AH6" s="15">
        <v>7.5</v>
      </c>
      <c r="AI6" s="15"/>
      <c r="AJ6" s="16">
        <f t="shared" si="0"/>
        <v>79</v>
      </c>
      <c r="AK6" s="65">
        <f t="shared" si="1"/>
        <v>5.6428571428571432</v>
      </c>
    </row>
    <row r="7" spans="1:37" ht="15.5" x14ac:dyDescent="0.35">
      <c r="A7" s="8">
        <f>'Data Siswa'!A7</f>
        <v>6</v>
      </c>
      <c r="B7" s="77" t="str">
        <f>'Data Siswa'!B7</f>
        <v>FATAHILLAH DANIAL</v>
      </c>
      <c r="C7" s="8" t="str">
        <f>'Data Siswa'!C7</f>
        <v>0419</v>
      </c>
      <c r="D7" s="15">
        <v>6</v>
      </c>
      <c r="E7" s="15">
        <v>6</v>
      </c>
      <c r="F7" s="15">
        <v>6</v>
      </c>
      <c r="G7" s="15">
        <v>4.5</v>
      </c>
      <c r="H7" s="15">
        <v>5.5</v>
      </c>
      <c r="I7" s="15">
        <v>5</v>
      </c>
      <c r="J7" s="15">
        <v>6</v>
      </c>
      <c r="K7" s="15">
        <v>4.5</v>
      </c>
      <c r="L7" s="15">
        <v>6.5</v>
      </c>
      <c r="M7" s="15">
        <v>5.5</v>
      </c>
      <c r="N7" s="15">
        <v>6.5</v>
      </c>
      <c r="O7" s="15">
        <v>7</v>
      </c>
      <c r="P7" s="15">
        <v>6.5</v>
      </c>
      <c r="Q7" s="15">
        <v>7</v>
      </c>
      <c r="R7" s="15">
        <v>4</v>
      </c>
      <c r="S7" s="15">
        <v>4</v>
      </c>
      <c r="T7" s="15">
        <v>6</v>
      </c>
      <c r="U7" s="15">
        <v>6</v>
      </c>
      <c r="V7" s="15">
        <v>6</v>
      </c>
      <c r="W7" s="15">
        <v>7</v>
      </c>
      <c r="X7" s="15">
        <v>7</v>
      </c>
      <c r="Y7" s="15">
        <v>9</v>
      </c>
      <c r="Z7" s="15">
        <v>7</v>
      </c>
      <c r="AA7" s="15">
        <v>7.5</v>
      </c>
      <c r="AB7" s="15">
        <v>8.5</v>
      </c>
      <c r="AC7" s="15">
        <v>8.5</v>
      </c>
      <c r="AD7" s="15">
        <v>7.5</v>
      </c>
      <c r="AE7" s="110"/>
      <c r="AF7" s="110"/>
      <c r="AG7" s="110"/>
      <c r="AH7" s="15">
        <v>8.5</v>
      </c>
      <c r="AI7" s="15">
        <v>6</v>
      </c>
      <c r="AJ7" s="16">
        <f t="shared" si="0"/>
        <v>185</v>
      </c>
      <c r="AK7" s="65">
        <f t="shared" si="1"/>
        <v>6.3793103448275863</v>
      </c>
    </row>
    <row r="8" spans="1:37" ht="15.5" x14ac:dyDescent="0.35">
      <c r="A8" s="8">
        <f>'Data Siswa'!A8</f>
        <v>7</v>
      </c>
      <c r="B8" s="77" t="str">
        <f>'Data Siswa'!B8</f>
        <v>GIBRAN PRADANA</v>
      </c>
      <c r="C8" s="8" t="str">
        <f>'Data Siswa'!C8</f>
        <v>0420</v>
      </c>
      <c r="D8" s="15">
        <v>6</v>
      </c>
      <c r="E8" s="15">
        <v>5.5</v>
      </c>
      <c r="F8" s="15">
        <v>5</v>
      </c>
      <c r="G8" s="15">
        <v>4</v>
      </c>
      <c r="H8" s="15">
        <v>4</v>
      </c>
      <c r="I8" s="15">
        <v>5</v>
      </c>
      <c r="J8" s="15">
        <v>4</v>
      </c>
      <c r="K8" s="15">
        <v>5</v>
      </c>
      <c r="L8" s="15">
        <v>4.5</v>
      </c>
      <c r="M8" s="15">
        <v>6.5</v>
      </c>
      <c r="N8" s="15">
        <v>6</v>
      </c>
      <c r="O8" s="15">
        <v>7.5</v>
      </c>
      <c r="P8" s="15">
        <v>7</v>
      </c>
      <c r="Q8" s="15">
        <v>4</v>
      </c>
      <c r="R8" s="15">
        <v>4</v>
      </c>
      <c r="S8" s="15">
        <v>4</v>
      </c>
      <c r="T8" s="15">
        <v>6</v>
      </c>
      <c r="U8" s="15">
        <v>6</v>
      </c>
      <c r="V8" s="15">
        <v>6</v>
      </c>
      <c r="W8" s="15">
        <v>7</v>
      </c>
      <c r="X8" s="15">
        <v>7</v>
      </c>
      <c r="Y8" s="15">
        <v>7.5</v>
      </c>
      <c r="Z8" s="15">
        <v>4.5</v>
      </c>
      <c r="AA8" s="15">
        <v>7</v>
      </c>
      <c r="AB8" s="15">
        <v>8</v>
      </c>
      <c r="AC8" s="15">
        <v>8</v>
      </c>
      <c r="AD8" s="15">
        <v>7.5</v>
      </c>
      <c r="AE8" s="110"/>
      <c r="AF8" s="110"/>
      <c r="AG8" s="110"/>
      <c r="AH8" s="15">
        <v>7.5</v>
      </c>
      <c r="AI8" s="15">
        <v>6</v>
      </c>
      <c r="AJ8" s="16">
        <f t="shared" si="0"/>
        <v>170</v>
      </c>
      <c r="AK8" s="65">
        <f t="shared" si="1"/>
        <v>5.8620689655172411</v>
      </c>
    </row>
    <row r="9" spans="1:37" ht="15.5" x14ac:dyDescent="0.35">
      <c r="A9" s="8">
        <f>'Data Siswa'!A9</f>
        <v>8</v>
      </c>
      <c r="B9" s="77" t="str">
        <f>'Data Siswa'!B9</f>
        <v>GILANG PAHRI AKBAR</v>
      </c>
      <c r="C9" s="8" t="str">
        <f>'Data Siswa'!C9</f>
        <v>0421</v>
      </c>
      <c r="D9" s="15">
        <v>6</v>
      </c>
      <c r="E9" s="15">
        <v>5</v>
      </c>
      <c r="F9" s="15">
        <v>4.5</v>
      </c>
      <c r="G9" s="15">
        <v>4</v>
      </c>
      <c r="H9" s="15">
        <v>5</v>
      </c>
      <c r="I9" s="15">
        <v>4.5</v>
      </c>
      <c r="J9" s="15">
        <v>7</v>
      </c>
      <c r="K9" s="15">
        <v>5.5</v>
      </c>
      <c r="L9" s="15">
        <v>5</v>
      </c>
      <c r="M9" s="15">
        <v>5</v>
      </c>
      <c r="N9" s="15">
        <v>6.5</v>
      </c>
      <c r="O9" s="15">
        <v>7.5</v>
      </c>
      <c r="P9" s="15">
        <v>5</v>
      </c>
      <c r="Q9" s="15">
        <v>6</v>
      </c>
      <c r="R9" s="15">
        <v>4</v>
      </c>
      <c r="S9" s="15">
        <v>4</v>
      </c>
      <c r="T9" s="15">
        <v>6</v>
      </c>
      <c r="U9" s="15">
        <v>6</v>
      </c>
      <c r="V9" s="15">
        <v>4</v>
      </c>
      <c r="W9" s="15">
        <v>7</v>
      </c>
      <c r="X9" s="15">
        <v>7</v>
      </c>
      <c r="Y9" s="15">
        <v>9</v>
      </c>
      <c r="Z9" s="15">
        <v>7.5</v>
      </c>
      <c r="AA9" s="15">
        <v>8</v>
      </c>
      <c r="AB9" s="15">
        <v>8.5</v>
      </c>
      <c r="AC9" s="15">
        <v>8</v>
      </c>
      <c r="AD9" s="15">
        <v>8</v>
      </c>
      <c r="AE9" s="110"/>
      <c r="AF9" s="110"/>
      <c r="AG9" s="110"/>
      <c r="AH9" s="15">
        <v>8</v>
      </c>
      <c r="AI9" s="15">
        <v>6</v>
      </c>
      <c r="AJ9" s="16">
        <f t="shared" si="0"/>
        <v>177.5</v>
      </c>
      <c r="AK9" s="65">
        <f t="shared" si="1"/>
        <v>6.1206896551724137</v>
      </c>
    </row>
    <row r="10" spans="1:37" ht="15.5" x14ac:dyDescent="0.35">
      <c r="A10" s="8">
        <f>'Data Siswa'!A10</f>
        <v>9</v>
      </c>
      <c r="B10" s="77" t="str">
        <f>'Data Siswa'!B10</f>
        <v>ILHAM HABIBIE</v>
      </c>
      <c r="C10" s="8" t="str">
        <f>'Data Siswa'!C10</f>
        <v>0422</v>
      </c>
      <c r="D10" s="15">
        <v>6</v>
      </c>
      <c r="E10" s="15">
        <v>7</v>
      </c>
      <c r="F10" s="15">
        <v>6</v>
      </c>
      <c r="G10" s="15">
        <v>6.5</v>
      </c>
      <c r="H10" s="15">
        <v>7</v>
      </c>
      <c r="I10" s="15">
        <v>8</v>
      </c>
      <c r="J10" s="15">
        <v>8</v>
      </c>
      <c r="K10" s="15">
        <v>7.5</v>
      </c>
      <c r="L10" s="15">
        <v>8</v>
      </c>
      <c r="M10" s="15">
        <v>6.5</v>
      </c>
      <c r="N10" s="15">
        <v>8</v>
      </c>
      <c r="O10" s="15">
        <v>8</v>
      </c>
      <c r="P10" s="15">
        <v>6</v>
      </c>
      <c r="Q10" s="15">
        <v>6</v>
      </c>
      <c r="R10" s="15">
        <v>4.5</v>
      </c>
      <c r="S10" s="15">
        <v>6</v>
      </c>
      <c r="T10" s="15">
        <v>6</v>
      </c>
      <c r="U10" s="15">
        <v>6</v>
      </c>
      <c r="V10" s="15">
        <v>7.5</v>
      </c>
      <c r="W10" s="15">
        <v>7</v>
      </c>
      <c r="X10" s="15">
        <v>7</v>
      </c>
      <c r="Y10" s="15">
        <v>8</v>
      </c>
      <c r="Z10" s="15">
        <v>7</v>
      </c>
      <c r="AA10" s="15">
        <v>7.5</v>
      </c>
      <c r="AB10" s="15">
        <v>8.5</v>
      </c>
      <c r="AC10" s="15">
        <v>8</v>
      </c>
      <c r="AD10" s="15">
        <v>8</v>
      </c>
      <c r="AE10" s="110"/>
      <c r="AF10" s="110"/>
      <c r="AG10" s="110"/>
      <c r="AH10" s="15">
        <v>8.5</v>
      </c>
      <c r="AI10" s="15">
        <v>6.5</v>
      </c>
      <c r="AJ10" s="16">
        <f t="shared" si="0"/>
        <v>204.5</v>
      </c>
      <c r="AK10" s="65">
        <f t="shared" si="1"/>
        <v>7.0517241379310347</v>
      </c>
    </row>
    <row r="11" spans="1:37" ht="15.5" x14ac:dyDescent="0.35">
      <c r="A11" s="8">
        <f>'Data Siswa'!A11</f>
        <v>10</v>
      </c>
      <c r="B11" s="77" t="str">
        <f>'Data Siswa'!B11</f>
        <v>MUHAMAD MARIO</v>
      </c>
      <c r="C11" s="8" t="str">
        <f>'Data Siswa'!C11</f>
        <v>0423</v>
      </c>
      <c r="D11" s="15">
        <v>6</v>
      </c>
      <c r="E11" s="15">
        <v>6.5</v>
      </c>
      <c r="F11" s="15">
        <v>4.5</v>
      </c>
      <c r="G11" s="15">
        <v>4.5</v>
      </c>
      <c r="H11" s="15">
        <v>4.5</v>
      </c>
      <c r="I11" s="15">
        <v>6</v>
      </c>
      <c r="J11" s="15">
        <v>6.5</v>
      </c>
      <c r="K11" s="15">
        <v>4.5</v>
      </c>
      <c r="L11" s="15">
        <v>5</v>
      </c>
      <c r="M11" s="15">
        <v>5</v>
      </c>
      <c r="N11" s="15">
        <v>7</v>
      </c>
      <c r="O11" s="15">
        <v>6</v>
      </c>
      <c r="P11" s="15">
        <v>5.5</v>
      </c>
      <c r="Q11" s="15">
        <v>5.5</v>
      </c>
      <c r="R11" s="15">
        <v>4</v>
      </c>
      <c r="S11" s="15">
        <v>4</v>
      </c>
      <c r="T11" s="15">
        <v>6</v>
      </c>
      <c r="U11" s="15">
        <v>6</v>
      </c>
      <c r="V11" s="15">
        <v>5.5</v>
      </c>
      <c r="W11" s="15">
        <v>7</v>
      </c>
      <c r="X11" s="15">
        <v>7</v>
      </c>
      <c r="Y11" s="15">
        <v>7.5</v>
      </c>
      <c r="Z11" s="15">
        <v>6</v>
      </c>
      <c r="AA11" s="15">
        <v>7.5</v>
      </c>
      <c r="AB11" s="15">
        <v>8.5</v>
      </c>
      <c r="AC11" s="15">
        <v>8</v>
      </c>
      <c r="AD11" s="15">
        <v>8</v>
      </c>
      <c r="AE11" s="110"/>
      <c r="AF11" s="110"/>
      <c r="AG11" s="110"/>
      <c r="AH11" s="15">
        <v>8</v>
      </c>
      <c r="AI11" s="15">
        <v>6</v>
      </c>
      <c r="AJ11" s="16">
        <f t="shared" si="0"/>
        <v>176</v>
      </c>
      <c r="AK11" s="65">
        <f t="shared" si="1"/>
        <v>6.068965517241379</v>
      </c>
    </row>
    <row r="12" spans="1:37" ht="15.5" x14ac:dyDescent="0.35">
      <c r="A12" s="8">
        <f>'Data Siswa'!A12</f>
        <v>11</v>
      </c>
      <c r="B12" s="77" t="str">
        <f>'Data Siswa'!B12</f>
        <v>MUHAMMAD ARIEF RAHMAN</v>
      </c>
      <c r="C12" s="8" t="str">
        <f>'Data Siswa'!C12</f>
        <v>0424</v>
      </c>
      <c r="D12" s="15">
        <v>6</v>
      </c>
      <c r="E12" s="15">
        <v>4</v>
      </c>
      <c r="F12" s="15">
        <v>5</v>
      </c>
      <c r="G12" s="15">
        <v>4.5</v>
      </c>
      <c r="H12" s="15">
        <v>6</v>
      </c>
      <c r="I12" s="15">
        <v>6</v>
      </c>
      <c r="J12" s="15">
        <v>4.5</v>
      </c>
      <c r="K12" s="15">
        <v>4.5</v>
      </c>
      <c r="L12" s="15">
        <v>4.5</v>
      </c>
      <c r="M12" s="15">
        <v>5</v>
      </c>
      <c r="N12" s="15">
        <v>7</v>
      </c>
      <c r="O12" s="15">
        <v>6.5</v>
      </c>
      <c r="P12" s="15">
        <v>5.5</v>
      </c>
      <c r="Q12" s="15">
        <v>4.5</v>
      </c>
      <c r="R12" s="15">
        <v>4</v>
      </c>
      <c r="S12" s="15">
        <v>4</v>
      </c>
      <c r="T12" s="15">
        <v>6</v>
      </c>
      <c r="U12" s="15">
        <v>6</v>
      </c>
      <c r="V12" s="15">
        <v>6</v>
      </c>
      <c r="W12" s="15">
        <v>7</v>
      </c>
      <c r="X12" s="15">
        <v>7</v>
      </c>
      <c r="Y12" s="15">
        <v>7.5</v>
      </c>
      <c r="Z12" s="15">
        <v>4</v>
      </c>
      <c r="AA12" s="15">
        <v>8</v>
      </c>
      <c r="AB12" s="15">
        <v>8</v>
      </c>
      <c r="AC12" s="15">
        <v>8.5</v>
      </c>
      <c r="AD12" s="15">
        <v>8</v>
      </c>
      <c r="AE12" s="110"/>
      <c r="AF12" s="110"/>
      <c r="AG12" s="110"/>
      <c r="AH12" s="15">
        <v>8</v>
      </c>
      <c r="AI12" s="15">
        <v>6</v>
      </c>
      <c r="AJ12" s="16">
        <f t="shared" si="0"/>
        <v>171.5</v>
      </c>
      <c r="AK12" s="65">
        <f t="shared" si="1"/>
        <v>5.9137931034482758</v>
      </c>
    </row>
    <row r="13" spans="1:37" ht="15.5" x14ac:dyDescent="0.35">
      <c r="A13" s="8">
        <f>'Data Siswa'!A13</f>
        <v>12</v>
      </c>
      <c r="B13" s="77" t="str">
        <f>'Data Siswa'!B13</f>
        <v>MUHAMMAD FADHILAH ALBARI</v>
      </c>
      <c r="C13" s="8" t="str">
        <f>'Data Siswa'!C13</f>
        <v>0425</v>
      </c>
      <c r="D13" s="15">
        <v>6</v>
      </c>
      <c r="E13" s="15">
        <v>5.5</v>
      </c>
      <c r="F13" s="15">
        <v>5</v>
      </c>
      <c r="G13" s="15">
        <v>5</v>
      </c>
      <c r="H13" s="15">
        <v>5.5</v>
      </c>
      <c r="I13" s="15">
        <v>7</v>
      </c>
      <c r="J13" s="15">
        <v>7.5</v>
      </c>
      <c r="K13" s="15">
        <v>5.5</v>
      </c>
      <c r="L13" s="15">
        <v>7.5</v>
      </c>
      <c r="M13" s="15">
        <v>5.5</v>
      </c>
      <c r="N13" s="15">
        <v>7.5</v>
      </c>
      <c r="O13" s="15">
        <v>8</v>
      </c>
      <c r="P13" s="15">
        <v>6</v>
      </c>
      <c r="Q13" s="15">
        <v>7</v>
      </c>
      <c r="R13" s="15">
        <v>4</v>
      </c>
      <c r="S13" s="15">
        <v>5</v>
      </c>
      <c r="T13" s="15">
        <v>6</v>
      </c>
      <c r="U13" s="15">
        <v>6</v>
      </c>
      <c r="V13" s="15">
        <v>6</v>
      </c>
      <c r="W13" s="15">
        <v>7</v>
      </c>
      <c r="X13" s="15">
        <v>7</v>
      </c>
      <c r="Y13" s="15">
        <v>7.5</v>
      </c>
      <c r="Z13" s="15">
        <v>8</v>
      </c>
      <c r="AA13" s="15">
        <v>7.5</v>
      </c>
      <c r="AB13" s="15">
        <v>8</v>
      </c>
      <c r="AC13" s="15">
        <v>8.5</v>
      </c>
      <c r="AD13" s="15">
        <v>8</v>
      </c>
      <c r="AE13" s="110"/>
      <c r="AF13" s="110"/>
      <c r="AG13" s="110"/>
      <c r="AH13" s="15">
        <v>8</v>
      </c>
      <c r="AI13" s="15">
        <v>6</v>
      </c>
      <c r="AJ13" s="16">
        <f t="shared" si="0"/>
        <v>191</v>
      </c>
      <c r="AK13" s="65">
        <f t="shared" si="1"/>
        <v>6.5862068965517242</v>
      </c>
    </row>
    <row r="14" spans="1:37" ht="15.5" x14ac:dyDescent="0.35">
      <c r="A14" s="8">
        <f>'Data Siswa'!A14</f>
        <v>13</v>
      </c>
      <c r="B14" s="77" t="str">
        <f>'Data Siswa'!B14</f>
        <v>MUHAMMAD FAIZ FATHANNA'IM</v>
      </c>
      <c r="C14" s="8" t="str">
        <f>'Data Siswa'!C14</f>
        <v>0426</v>
      </c>
      <c r="D14" s="15">
        <v>6</v>
      </c>
      <c r="E14" s="15">
        <v>6.5</v>
      </c>
      <c r="F14" s="15">
        <v>4</v>
      </c>
      <c r="G14" s="15">
        <v>4</v>
      </c>
      <c r="H14" s="15">
        <v>5</v>
      </c>
      <c r="I14" s="15">
        <v>5.5</v>
      </c>
      <c r="J14" s="15">
        <v>6</v>
      </c>
      <c r="K14" s="15">
        <v>5</v>
      </c>
      <c r="L14" s="15">
        <v>7.5</v>
      </c>
      <c r="M14" s="15">
        <v>5</v>
      </c>
      <c r="N14" s="15">
        <v>6</v>
      </c>
      <c r="O14" s="15">
        <v>6</v>
      </c>
      <c r="P14" s="15">
        <v>7</v>
      </c>
      <c r="Q14" s="15">
        <v>5.5</v>
      </c>
      <c r="R14" s="15">
        <v>4</v>
      </c>
      <c r="S14" s="15">
        <v>4</v>
      </c>
      <c r="T14" s="15">
        <v>6</v>
      </c>
      <c r="U14" s="15">
        <v>6</v>
      </c>
      <c r="V14" s="15">
        <v>8</v>
      </c>
      <c r="W14" s="15">
        <v>7</v>
      </c>
      <c r="X14" s="15">
        <v>7</v>
      </c>
      <c r="Y14" s="15">
        <v>7.5</v>
      </c>
      <c r="Z14" s="15">
        <v>4</v>
      </c>
      <c r="AA14" s="15">
        <v>8</v>
      </c>
      <c r="AB14" s="15">
        <v>8</v>
      </c>
      <c r="AC14" s="15">
        <v>8</v>
      </c>
      <c r="AD14" s="15">
        <v>8</v>
      </c>
      <c r="AE14" s="110"/>
      <c r="AF14" s="110"/>
      <c r="AG14" s="110"/>
      <c r="AH14" s="15">
        <v>7.5</v>
      </c>
      <c r="AI14" s="15">
        <v>6</v>
      </c>
      <c r="AJ14" s="16">
        <f t="shared" si="0"/>
        <v>178</v>
      </c>
      <c r="AK14" s="65">
        <f t="shared" si="1"/>
        <v>6.1379310344827589</v>
      </c>
    </row>
    <row r="15" spans="1:37" ht="15.5" x14ac:dyDescent="0.35">
      <c r="A15" s="8">
        <f>'Data Siswa'!A15</f>
        <v>14</v>
      </c>
      <c r="B15" s="77" t="str">
        <f>'Data Siswa'!B15</f>
        <v>MUHAMMAD FAKHRI</v>
      </c>
      <c r="C15" s="8" t="str">
        <f>'Data Siswa'!C15</f>
        <v>0427</v>
      </c>
      <c r="D15" s="15">
        <v>6</v>
      </c>
      <c r="E15" s="15">
        <v>8</v>
      </c>
      <c r="F15" s="15">
        <v>6.5</v>
      </c>
      <c r="G15" s="15">
        <v>6.5</v>
      </c>
      <c r="H15" s="15">
        <v>7</v>
      </c>
      <c r="I15" s="15">
        <v>8</v>
      </c>
      <c r="J15" s="15">
        <v>8</v>
      </c>
      <c r="K15" s="15">
        <v>8</v>
      </c>
      <c r="L15" s="15">
        <v>8</v>
      </c>
      <c r="M15" s="15">
        <v>6</v>
      </c>
      <c r="N15" s="15">
        <v>7.5</v>
      </c>
      <c r="O15" s="15">
        <v>6.5</v>
      </c>
      <c r="P15" s="15">
        <v>8</v>
      </c>
      <c r="Q15" s="15">
        <v>7</v>
      </c>
      <c r="R15" s="15">
        <v>5</v>
      </c>
      <c r="S15" s="15">
        <v>6</v>
      </c>
      <c r="T15" s="15">
        <v>6</v>
      </c>
      <c r="U15" s="15">
        <v>6</v>
      </c>
      <c r="V15" s="15">
        <v>7</v>
      </c>
      <c r="W15" s="15">
        <v>7</v>
      </c>
      <c r="X15" s="15">
        <v>7</v>
      </c>
      <c r="Y15" s="15">
        <v>7.5</v>
      </c>
      <c r="Z15" s="15">
        <v>7</v>
      </c>
      <c r="AA15" s="15">
        <v>7.5</v>
      </c>
      <c r="AB15" s="15">
        <v>8</v>
      </c>
      <c r="AC15" s="15">
        <v>8.5</v>
      </c>
      <c r="AD15" s="15">
        <v>8</v>
      </c>
      <c r="AE15" s="110"/>
      <c r="AF15" s="110"/>
      <c r="AG15" s="110"/>
      <c r="AH15" s="15">
        <v>8</v>
      </c>
      <c r="AI15" s="15">
        <v>6</v>
      </c>
      <c r="AJ15" s="16">
        <f t="shared" si="0"/>
        <v>205.5</v>
      </c>
      <c r="AK15" s="65">
        <f t="shared" si="1"/>
        <v>7.0862068965517242</v>
      </c>
    </row>
    <row r="16" spans="1:37" ht="15.5" x14ac:dyDescent="0.35">
      <c r="A16" s="8">
        <f>'Data Siswa'!A16</f>
        <v>15</v>
      </c>
      <c r="B16" s="77" t="str">
        <f>'Data Siswa'!B16</f>
        <v>MUHAMMAD HAFIZ SIHABUDIN</v>
      </c>
      <c r="C16" s="8" t="str">
        <f>'Data Siswa'!C16</f>
        <v>0428</v>
      </c>
      <c r="D16" s="15">
        <v>6</v>
      </c>
      <c r="E16" s="15">
        <v>5.5</v>
      </c>
      <c r="F16" s="15">
        <v>5.5</v>
      </c>
      <c r="G16" s="15">
        <v>4.5</v>
      </c>
      <c r="H16" s="15">
        <v>5</v>
      </c>
      <c r="I16" s="15">
        <v>8</v>
      </c>
      <c r="J16" s="15">
        <v>8</v>
      </c>
      <c r="K16" s="15">
        <v>7</v>
      </c>
      <c r="L16" s="15">
        <v>7.5</v>
      </c>
      <c r="M16" s="15">
        <v>5.5</v>
      </c>
      <c r="N16" s="15">
        <v>7</v>
      </c>
      <c r="O16" s="15">
        <v>6</v>
      </c>
      <c r="P16" s="15">
        <v>7.5</v>
      </c>
      <c r="Q16" s="15">
        <v>6.5</v>
      </c>
      <c r="R16" s="15">
        <v>5</v>
      </c>
      <c r="S16" s="15">
        <v>4</v>
      </c>
      <c r="T16" s="15">
        <v>6</v>
      </c>
      <c r="U16" s="15">
        <v>6</v>
      </c>
      <c r="V16" s="15">
        <v>5.5</v>
      </c>
      <c r="W16" s="15">
        <v>7</v>
      </c>
      <c r="X16" s="15">
        <v>7</v>
      </c>
      <c r="Y16" s="15">
        <v>7.5</v>
      </c>
      <c r="Z16" s="15">
        <v>5</v>
      </c>
      <c r="AA16" s="15">
        <v>7.5</v>
      </c>
      <c r="AB16" s="15">
        <v>8</v>
      </c>
      <c r="AC16" s="15">
        <v>8.5</v>
      </c>
      <c r="AD16" s="15">
        <v>8</v>
      </c>
      <c r="AE16" s="110"/>
      <c r="AF16" s="110"/>
      <c r="AG16" s="110"/>
      <c r="AH16" s="15">
        <v>7.5</v>
      </c>
      <c r="AI16" s="15">
        <v>6</v>
      </c>
      <c r="AJ16" s="16">
        <f t="shared" si="0"/>
        <v>188</v>
      </c>
      <c r="AK16" s="65">
        <f t="shared" si="1"/>
        <v>6.4827586206896548</v>
      </c>
    </row>
    <row r="17" spans="1:37" ht="15.5" x14ac:dyDescent="0.35">
      <c r="A17" s="8">
        <f>'Data Siswa'!A17</f>
        <v>16</v>
      </c>
      <c r="B17" s="77" t="str">
        <f>'Data Siswa'!B17</f>
        <v>MUHAMMAD MUMU NAJMUDIN</v>
      </c>
      <c r="C17" s="8" t="str">
        <f>'Data Siswa'!C17</f>
        <v>0429</v>
      </c>
      <c r="D17" s="15">
        <v>6</v>
      </c>
      <c r="E17" s="15">
        <v>4</v>
      </c>
      <c r="F17" s="15">
        <v>6</v>
      </c>
      <c r="G17" s="15">
        <v>4</v>
      </c>
      <c r="H17" s="15">
        <v>4</v>
      </c>
      <c r="I17" s="15">
        <v>4.5</v>
      </c>
      <c r="J17" s="15">
        <v>5</v>
      </c>
      <c r="K17" s="15">
        <v>4.5</v>
      </c>
      <c r="L17" s="15">
        <v>4.5</v>
      </c>
      <c r="M17" s="15">
        <v>5.5</v>
      </c>
      <c r="N17" s="15">
        <v>6</v>
      </c>
      <c r="O17" s="15">
        <v>6</v>
      </c>
      <c r="P17" s="15">
        <v>6</v>
      </c>
      <c r="Q17" s="15">
        <v>4</v>
      </c>
      <c r="R17" s="15">
        <v>4</v>
      </c>
      <c r="S17" s="15">
        <v>4</v>
      </c>
      <c r="T17" s="15">
        <v>6</v>
      </c>
      <c r="U17" s="15">
        <v>6</v>
      </c>
      <c r="V17" s="15">
        <v>5.5</v>
      </c>
      <c r="W17" s="15">
        <v>7</v>
      </c>
      <c r="X17" s="15">
        <v>7</v>
      </c>
      <c r="Y17" s="15">
        <v>7.5</v>
      </c>
      <c r="Z17" s="15">
        <v>5</v>
      </c>
      <c r="AA17" s="15">
        <v>8.5</v>
      </c>
      <c r="AB17" s="15">
        <v>8</v>
      </c>
      <c r="AC17" s="15">
        <v>8</v>
      </c>
      <c r="AD17" s="15">
        <v>8</v>
      </c>
      <c r="AE17" s="110"/>
      <c r="AF17" s="110"/>
      <c r="AG17" s="110"/>
      <c r="AH17" s="15">
        <v>7.5</v>
      </c>
      <c r="AI17" s="15">
        <v>6</v>
      </c>
      <c r="AJ17" s="16">
        <f t="shared" si="0"/>
        <v>168</v>
      </c>
      <c r="AK17" s="65">
        <f t="shared" si="1"/>
        <v>5.7931034482758621</v>
      </c>
    </row>
    <row r="18" spans="1:37" ht="15.5" x14ac:dyDescent="0.35">
      <c r="A18" s="8">
        <f>'Data Siswa'!A18</f>
        <v>17</v>
      </c>
      <c r="B18" s="77" t="str">
        <f>'Data Siswa'!B18</f>
        <v>MUHAMMAD RHOMI FAHREZI</v>
      </c>
      <c r="C18" s="8" t="str">
        <f>'Data Siswa'!C18</f>
        <v>0430</v>
      </c>
      <c r="D18" s="15">
        <v>6</v>
      </c>
      <c r="E18" s="15">
        <v>5.5</v>
      </c>
      <c r="F18" s="15">
        <v>4.5</v>
      </c>
      <c r="G18" s="15">
        <v>5</v>
      </c>
      <c r="H18" s="15">
        <v>4</v>
      </c>
      <c r="I18" s="15">
        <v>4.5</v>
      </c>
      <c r="J18" s="15">
        <v>6.5</v>
      </c>
      <c r="K18" s="15">
        <v>4.5</v>
      </c>
      <c r="L18" s="15">
        <v>4</v>
      </c>
      <c r="M18" s="15">
        <v>6</v>
      </c>
      <c r="N18" s="15">
        <v>6</v>
      </c>
      <c r="O18" s="15">
        <v>5.5</v>
      </c>
      <c r="P18" s="15">
        <v>5.5</v>
      </c>
      <c r="Q18" s="15">
        <v>5.5</v>
      </c>
      <c r="R18" s="15">
        <v>4</v>
      </c>
      <c r="S18" s="15">
        <v>4</v>
      </c>
      <c r="T18" s="15">
        <v>6</v>
      </c>
      <c r="U18" s="15">
        <v>6</v>
      </c>
      <c r="V18" s="15">
        <v>6</v>
      </c>
      <c r="W18" s="15">
        <v>7</v>
      </c>
      <c r="X18" s="15">
        <v>7</v>
      </c>
      <c r="Y18" s="15">
        <v>7.5</v>
      </c>
      <c r="Z18" s="15">
        <v>5</v>
      </c>
      <c r="AA18" s="15">
        <v>8</v>
      </c>
      <c r="AB18" s="15">
        <v>8.5</v>
      </c>
      <c r="AC18" s="15">
        <v>8</v>
      </c>
      <c r="AD18" s="15">
        <v>8.5</v>
      </c>
      <c r="AE18" s="110"/>
      <c r="AF18" s="110"/>
      <c r="AG18" s="110"/>
      <c r="AH18" s="15">
        <v>8.5</v>
      </c>
      <c r="AI18" s="15">
        <v>6</v>
      </c>
      <c r="AJ18" s="16">
        <f t="shared" si="0"/>
        <v>173</v>
      </c>
      <c r="AK18" s="65">
        <f t="shared" si="1"/>
        <v>5.9655172413793105</v>
      </c>
    </row>
    <row r="19" spans="1:37" ht="15.5" x14ac:dyDescent="0.35">
      <c r="A19" s="8">
        <f>'Data Siswa'!A19</f>
        <v>18</v>
      </c>
      <c r="B19" s="77" t="str">
        <f>'Data Siswa'!B19</f>
        <v>MUHAMMAD RIZKI FAHREZA</v>
      </c>
      <c r="C19" s="8" t="str">
        <f>'Data Siswa'!C19</f>
        <v>0431</v>
      </c>
      <c r="D19" s="15">
        <v>6</v>
      </c>
      <c r="E19" s="15">
        <v>4</v>
      </c>
      <c r="F19" s="15">
        <v>4</v>
      </c>
      <c r="G19" s="15">
        <v>4</v>
      </c>
      <c r="H19" s="15">
        <v>4</v>
      </c>
      <c r="I19" s="15">
        <v>8</v>
      </c>
      <c r="J19" s="15">
        <v>4.5</v>
      </c>
      <c r="K19" s="15">
        <v>4.5</v>
      </c>
      <c r="L19" s="15">
        <v>5</v>
      </c>
      <c r="M19" s="15">
        <v>5.5</v>
      </c>
      <c r="N19" s="15">
        <v>6.5</v>
      </c>
      <c r="O19" s="15">
        <v>6</v>
      </c>
      <c r="P19" s="15">
        <v>5.5</v>
      </c>
      <c r="Q19" s="15">
        <v>4</v>
      </c>
      <c r="R19" s="15">
        <v>4</v>
      </c>
      <c r="S19" s="15">
        <v>4</v>
      </c>
      <c r="T19" s="15">
        <v>6</v>
      </c>
      <c r="U19" s="15">
        <v>6</v>
      </c>
      <c r="V19" s="15">
        <v>5</v>
      </c>
      <c r="W19" s="15">
        <v>7</v>
      </c>
      <c r="X19" s="15">
        <v>7</v>
      </c>
      <c r="Y19" s="15">
        <v>7.5</v>
      </c>
      <c r="Z19" s="15">
        <v>5.5</v>
      </c>
      <c r="AA19" s="15">
        <v>7.5</v>
      </c>
      <c r="AB19" s="15">
        <v>8</v>
      </c>
      <c r="AC19" s="15">
        <v>8</v>
      </c>
      <c r="AD19" s="15">
        <v>8</v>
      </c>
      <c r="AE19" s="110"/>
      <c r="AF19" s="110"/>
      <c r="AG19" s="110"/>
      <c r="AH19" s="15">
        <v>9</v>
      </c>
      <c r="AI19" s="15">
        <v>6</v>
      </c>
      <c r="AJ19" s="16">
        <f t="shared" si="0"/>
        <v>170</v>
      </c>
      <c r="AK19" s="65">
        <f t="shared" si="1"/>
        <v>5.8620689655172411</v>
      </c>
    </row>
    <row r="20" spans="1:37" ht="15.5" x14ac:dyDescent="0.35">
      <c r="A20" s="8">
        <f>'Data Siswa'!A20</f>
        <v>19</v>
      </c>
      <c r="B20" s="77" t="str">
        <f>'Data Siswa'!B20</f>
        <v>MUHAMMAD WILDAN KAMIL</v>
      </c>
      <c r="C20" s="8" t="str">
        <f>'Data Siswa'!C20</f>
        <v>0432</v>
      </c>
      <c r="D20" s="15">
        <v>6</v>
      </c>
      <c r="E20" s="15">
        <v>5</v>
      </c>
      <c r="F20" s="15">
        <v>4</v>
      </c>
      <c r="G20" s="15">
        <v>4</v>
      </c>
      <c r="H20" s="15">
        <v>4.5</v>
      </c>
      <c r="I20" s="15">
        <v>7</v>
      </c>
      <c r="J20" s="15">
        <v>8</v>
      </c>
      <c r="K20" s="15">
        <v>4.5</v>
      </c>
      <c r="L20" s="15">
        <v>5</v>
      </c>
      <c r="M20" s="15">
        <v>5</v>
      </c>
      <c r="N20" s="15">
        <v>6.5</v>
      </c>
      <c r="O20" s="15">
        <v>7</v>
      </c>
      <c r="P20" s="15">
        <v>4.5</v>
      </c>
      <c r="Q20" s="15">
        <v>4</v>
      </c>
      <c r="R20" s="15">
        <v>4</v>
      </c>
      <c r="S20" s="15">
        <v>4</v>
      </c>
      <c r="T20" s="15">
        <v>6</v>
      </c>
      <c r="U20" s="15">
        <v>6</v>
      </c>
      <c r="V20" s="15">
        <v>5</v>
      </c>
      <c r="W20" s="15">
        <v>7</v>
      </c>
      <c r="X20" s="15">
        <v>7</v>
      </c>
      <c r="Y20" s="15">
        <v>7.5</v>
      </c>
      <c r="Z20" s="15">
        <v>7</v>
      </c>
      <c r="AA20" s="15">
        <v>7</v>
      </c>
      <c r="AB20" s="15">
        <v>8</v>
      </c>
      <c r="AC20" s="15">
        <v>8</v>
      </c>
      <c r="AD20" s="15">
        <v>8</v>
      </c>
      <c r="AE20" s="110"/>
      <c r="AF20" s="110"/>
      <c r="AG20" s="110"/>
      <c r="AH20" s="15">
        <v>7.5</v>
      </c>
      <c r="AI20" s="15">
        <v>6.5</v>
      </c>
      <c r="AJ20" s="16">
        <f t="shared" si="0"/>
        <v>173.5</v>
      </c>
      <c r="AK20" s="65">
        <f t="shared" si="1"/>
        <v>5.9827586206896548</v>
      </c>
    </row>
    <row r="21" spans="1:37" ht="15.5" x14ac:dyDescent="0.35">
      <c r="A21" s="8">
        <f>'Data Siswa'!A21</f>
        <v>20</v>
      </c>
      <c r="B21" s="77" t="str">
        <f>'Data Siswa'!B21</f>
        <v>PANDU TRI KHUSMADEWANTARA</v>
      </c>
      <c r="C21" s="8" t="str">
        <f>'Data Siswa'!C21</f>
        <v>0433</v>
      </c>
      <c r="D21" s="15">
        <v>6</v>
      </c>
      <c r="E21" s="15">
        <v>5</v>
      </c>
      <c r="F21" s="15">
        <v>4.5</v>
      </c>
      <c r="G21" s="15">
        <v>4</v>
      </c>
      <c r="H21" s="15">
        <v>4</v>
      </c>
      <c r="I21" s="15">
        <v>6</v>
      </c>
      <c r="J21" s="15">
        <v>4</v>
      </c>
      <c r="K21" s="15">
        <v>4.5</v>
      </c>
      <c r="L21" s="15">
        <v>4</v>
      </c>
      <c r="M21" s="15">
        <v>5</v>
      </c>
      <c r="N21" s="15">
        <v>6.5</v>
      </c>
      <c r="O21" s="15">
        <v>5.5</v>
      </c>
      <c r="P21" s="15">
        <v>5</v>
      </c>
      <c r="Q21" s="15">
        <v>6</v>
      </c>
      <c r="R21" s="15">
        <v>4</v>
      </c>
      <c r="S21" s="15">
        <v>4</v>
      </c>
      <c r="T21" s="15">
        <v>6</v>
      </c>
      <c r="U21" s="15">
        <v>6</v>
      </c>
      <c r="V21" s="15">
        <v>5</v>
      </c>
      <c r="W21" s="15">
        <v>7</v>
      </c>
      <c r="X21" s="15">
        <v>7</v>
      </c>
      <c r="Y21" s="15">
        <v>8</v>
      </c>
      <c r="Z21" s="15">
        <v>6</v>
      </c>
      <c r="AA21" s="15">
        <v>8</v>
      </c>
      <c r="AB21" s="15">
        <v>8</v>
      </c>
      <c r="AC21" s="15">
        <v>8.5</v>
      </c>
      <c r="AD21" s="15">
        <v>8</v>
      </c>
      <c r="AE21" s="110"/>
      <c r="AF21" s="110"/>
      <c r="AG21" s="110"/>
      <c r="AH21" s="15">
        <v>7.5</v>
      </c>
      <c r="AI21" s="15">
        <v>6</v>
      </c>
      <c r="AJ21" s="16">
        <f t="shared" si="0"/>
        <v>169</v>
      </c>
      <c r="AK21" s="65">
        <f t="shared" si="1"/>
        <v>5.8275862068965516</v>
      </c>
    </row>
    <row r="22" spans="1:37" ht="15.5" x14ac:dyDescent="0.35">
      <c r="A22" s="8">
        <f>'Data Siswa'!A22</f>
        <v>21</v>
      </c>
      <c r="B22" s="77" t="str">
        <f>'Data Siswa'!B22</f>
        <v>SAMSUL MA'ARIF</v>
      </c>
      <c r="C22" s="8" t="str">
        <f>'Data Siswa'!C22</f>
        <v>0434</v>
      </c>
      <c r="D22" s="15">
        <v>6</v>
      </c>
      <c r="E22" s="15">
        <v>5.5</v>
      </c>
      <c r="F22" s="15">
        <v>5</v>
      </c>
      <c r="G22" s="15">
        <v>5.5</v>
      </c>
      <c r="H22" s="15">
        <v>6</v>
      </c>
      <c r="I22" s="15">
        <v>7</v>
      </c>
      <c r="J22" s="15">
        <v>6</v>
      </c>
      <c r="K22" s="15">
        <v>5</v>
      </c>
      <c r="L22" s="15">
        <v>5</v>
      </c>
      <c r="M22" s="15">
        <v>5</v>
      </c>
      <c r="N22" s="15">
        <v>6.5</v>
      </c>
      <c r="O22" s="15">
        <v>6</v>
      </c>
      <c r="P22" s="15">
        <v>5</v>
      </c>
      <c r="Q22" s="15">
        <v>6</v>
      </c>
      <c r="R22" s="15">
        <v>4</v>
      </c>
      <c r="S22" s="15">
        <v>4</v>
      </c>
      <c r="T22" s="15">
        <v>6</v>
      </c>
      <c r="U22" s="15">
        <v>6</v>
      </c>
      <c r="V22" s="15">
        <v>6</v>
      </c>
      <c r="W22" s="15">
        <v>7</v>
      </c>
      <c r="X22" s="15">
        <v>7</v>
      </c>
      <c r="Y22" s="15">
        <v>7.5</v>
      </c>
      <c r="Z22" s="15">
        <v>5</v>
      </c>
      <c r="AA22" s="15">
        <v>7</v>
      </c>
      <c r="AB22" s="15">
        <v>8</v>
      </c>
      <c r="AC22" s="15">
        <v>8</v>
      </c>
      <c r="AD22" s="15">
        <v>8</v>
      </c>
      <c r="AE22" s="110"/>
      <c r="AF22" s="110"/>
      <c r="AG22" s="110"/>
      <c r="AH22" s="15">
        <v>8</v>
      </c>
      <c r="AI22" s="15">
        <v>6</v>
      </c>
      <c r="AJ22" s="16">
        <f t="shared" si="0"/>
        <v>177</v>
      </c>
      <c r="AK22" s="65">
        <f t="shared" si="1"/>
        <v>6.1034482758620694</v>
      </c>
    </row>
    <row r="23" spans="1:37" ht="15.5" x14ac:dyDescent="0.35">
      <c r="A23" s="8">
        <f>'Data Siswa'!A23</f>
        <v>22</v>
      </c>
      <c r="B23" s="77" t="str">
        <f>'Data Siswa'!B23</f>
        <v>SYAGHGHAF HAJID ABYAN</v>
      </c>
      <c r="C23" s="8" t="str">
        <f>'Data Siswa'!C23</f>
        <v>0435</v>
      </c>
      <c r="D23" s="15">
        <v>6</v>
      </c>
      <c r="E23" s="15">
        <v>6</v>
      </c>
      <c r="F23" s="15">
        <v>4.5</v>
      </c>
      <c r="G23" s="15">
        <v>5.5</v>
      </c>
      <c r="H23" s="15">
        <v>5</v>
      </c>
      <c r="I23" s="15">
        <v>6</v>
      </c>
      <c r="J23" s="15">
        <v>8</v>
      </c>
      <c r="K23" s="15">
        <v>4.5</v>
      </c>
      <c r="L23" s="15">
        <v>8</v>
      </c>
      <c r="M23" s="15">
        <v>6</v>
      </c>
      <c r="N23" s="15">
        <v>7</v>
      </c>
      <c r="O23" s="15">
        <v>5.5</v>
      </c>
      <c r="P23" s="15">
        <v>5</v>
      </c>
      <c r="Q23" s="15">
        <v>5</v>
      </c>
      <c r="R23" s="15">
        <v>4</v>
      </c>
      <c r="S23" s="15">
        <v>4</v>
      </c>
      <c r="T23" s="15">
        <v>6</v>
      </c>
      <c r="U23" s="15">
        <v>6</v>
      </c>
      <c r="V23" s="15">
        <v>6.5</v>
      </c>
      <c r="W23" s="15">
        <v>7</v>
      </c>
      <c r="X23" s="15">
        <v>7</v>
      </c>
      <c r="Y23" s="15">
        <v>8</v>
      </c>
      <c r="Z23" s="15">
        <v>5.5</v>
      </c>
      <c r="AA23" s="15">
        <v>7.5</v>
      </c>
      <c r="AB23" s="15">
        <v>8.5</v>
      </c>
      <c r="AC23" s="15">
        <v>8</v>
      </c>
      <c r="AD23" s="15">
        <v>8</v>
      </c>
      <c r="AE23" s="110"/>
      <c r="AF23" s="110"/>
      <c r="AG23" s="110"/>
      <c r="AH23" s="15">
        <v>8</v>
      </c>
      <c r="AI23" s="15">
        <v>6</v>
      </c>
      <c r="AJ23" s="16">
        <f t="shared" si="0"/>
        <v>182</v>
      </c>
      <c r="AK23" s="65">
        <f t="shared" si="1"/>
        <v>6.2758620689655169</v>
      </c>
    </row>
    <row r="24" spans="1:37" ht="15.5" x14ac:dyDescent="0.35">
      <c r="A24" s="8">
        <f>'Data Siswa'!A24</f>
        <v>23</v>
      </c>
      <c r="B24" s="77" t="str">
        <f>'Data Siswa'!B24</f>
        <v>WILDAN AGNA ABABIL</v>
      </c>
      <c r="C24" s="8" t="str">
        <f>'Data Siswa'!C24</f>
        <v>0436</v>
      </c>
      <c r="D24" s="15">
        <v>6</v>
      </c>
      <c r="E24" s="15">
        <v>8</v>
      </c>
      <c r="F24" s="15">
        <v>6</v>
      </c>
      <c r="G24" s="15">
        <v>7</v>
      </c>
      <c r="H24" s="15">
        <v>5.5</v>
      </c>
      <c r="I24" s="15">
        <v>8</v>
      </c>
      <c r="J24" s="15">
        <v>8</v>
      </c>
      <c r="K24" s="15">
        <v>7</v>
      </c>
      <c r="L24" s="15">
        <v>8</v>
      </c>
      <c r="M24" s="15">
        <v>7</v>
      </c>
      <c r="N24" s="15">
        <v>7.5</v>
      </c>
      <c r="O24" s="15">
        <v>8</v>
      </c>
      <c r="P24" s="15">
        <v>8</v>
      </c>
      <c r="Q24" s="15">
        <v>7.5</v>
      </c>
      <c r="R24" s="15">
        <v>5</v>
      </c>
      <c r="S24" s="15">
        <v>7</v>
      </c>
      <c r="T24" s="15">
        <v>6</v>
      </c>
      <c r="U24" s="15">
        <v>6</v>
      </c>
      <c r="V24" s="15">
        <v>7</v>
      </c>
      <c r="W24" s="15">
        <v>7</v>
      </c>
      <c r="X24" s="15">
        <v>7</v>
      </c>
      <c r="Y24" s="15">
        <v>8.5</v>
      </c>
      <c r="Z24" s="15">
        <v>7.5</v>
      </c>
      <c r="AA24" s="15">
        <v>7.5</v>
      </c>
      <c r="AB24" s="15">
        <v>8</v>
      </c>
      <c r="AC24" s="15">
        <v>8.5</v>
      </c>
      <c r="AD24" s="15">
        <v>8</v>
      </c>
      <c r="AE24" s="110"/>
      <c r="AF24" s="110"/>
      <c r="AG24" s="110"/>
      <c r="AH24" s="15">
        <v>8.5</v>
      </c>
      <c r="AI24" s="15">
        <v>6</v>
      </c>
      <c r="AJ24" s="16">
        <f t="shared" si="0"/>
        <v>209</v>
      </c>
      <c r="AK24" s="65">
        <f t="shared" si="1"/>
        <v>7.2068965517241379</v>
      </c>
    </row>
    <row r="25" spans="1:37" ht="15.5" x14ac:dyDescent="0.35">
      <c r="A25" s="8">
        <f>'Data Siswa'!A25</f>
        <v>24</v>
      </c>
      <c r="B25" s="77" t="str">
        <f>'Data Siswa'!B25</f>
        <v>ZEN KEMAL AISY</v>
      </c>
      <c r="C25" s="8" t="str">
        <f>'Data Siswa'!C25</f>
        <v>0437</v>
      </c>
      <c r="D25" s="15">
        <v>6</v>
      </c>
      <c r="E25" s="15">
        <v>5</v>
      </c>
      <c r="F25" s="15">
        <v>5</v>
      </c>
      <c r="G25" s="15">
        <v>4</v>
      </c>
      <c r="H25" s="15">
        <v>5</v>
      </c>
      <c r="I25" s="15">
        <v>6</v>
      </c>
      <c r="J25" s="15">
        <v>7</v>
      </c>
      <c r="K25" s="15">
        <v>6</v>
      </c>
      <c r="L25" s="15">
        <v>7.5</v>
      </c>
      <c r="M25" s="15">
        <v>5</v>
      </c>
      <c r="N25" s="15">
        <v>7</v>
      </c>
      <c r="O25" s="15">
        <v>6.5</v>
      </c>
      <c r="P25" s="15">
        <v>5.5</v>
      </c>
      <c r="Q25" s="15">
        <v>6</v>
      </c>
      <c r="R25" s="15">
        <v>4</v>
      </c>
      <c r="S25" s="15">
        <v>4</v>
      </c>
      <c r="T25" s="15">
        <v>6</v>
      </c>
      <c r="U25" s="15">
        <v>6</v>
      </c>
      <c r="V25" s="15">
        <v>5.5</v>
      </c>
      <c r="W25" s="15">
        <v>7</v>
      </c>
      <c r="X25" s="15">
        <v>7</v>
      </c>
      <c r="Y25" s="15">
        <v>7.5</v>
      </c>
      <c r="Z25" s="15">
        <v>5.5</v>
      </c>
      <c r="AA25" s="15">
        <v>8</v>
      </c>
      <c r="AB25" s="15">
        <v>8</v>
      </c>
      <c r="AC25" s="15">
        <v>8</v>
      </c>
      <c r="AD25" s="15">
        <v>7.5</v>
      </c>
      <c r="AE25" s="110"/>
      <c r="AF25" s="110"/>
      <c r="AG25" s="110"/>
      <c r="AH25" s="15">
        <v>8.5</v>
      </c>
      <c r="AI25" s="15">
        <v>6.5</v>
      </c>
      <c r="AJ25" s="16">
        <f t="shared" si="0"/>
        <v>180.5</v>
      </c>
      <c r="AK25" s="65">
        <f t="shared" si="1"/>
        <v>6.2241379310344831</v>
      </c>
    </row>
    <row r="26" spans="1:37" ht="15.5" x14ac:dyDescent="0.35">
      <c r="A26" s="8">
        <f>'Data Siswa'!A26</f>
        <v>25</v>
      </c>
      <c r="B26" s="77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10"/>
      <c r="AF26" s="110"/>
      <c r="AG26" s="110"/>
      <c r="AH26" s="15"/>
      <c r="AI26" s="15"/>
      <c r="AJ26" s="16">
        <f t="shared" si="0"/>
        <v>0</v>
      </c>
      <c r="AK26" s="65" t="e">
        <f t="shared" si="1"/>
        <v>#DIV/0!</v>
      </c>
    </row>
    <row r="27" spans="1:37" ht="15.5" x14ac:dyDescent="0.35">
      <c r="A27" s="8">
        <f>'Data Siswa'!A27</f>
        <v>26</v>
      </c>
      <c r="B27" s="77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10"/>
      <c r="AF27" s="110"/>
      <c r="AG27" s="110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7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10"/>
      <c r="AF28" s="110"/>
      <c r="AG28" s="110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7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10"/>
      <c r="AF29" s="110"/>
      <c r="AG29" s="110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7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10"/>
      <c r="AF30" s="110"/>
      <c r="AG30" s="110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7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10"/>
      <c r="AF31" s="110"/>
      <c r="AG31" s="110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7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10"/>
      <c r="AF32" s="110"/>
      <c r="AG32" s="110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7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0"/>
      <c r="AF33" s="110"/>
      <c r="AG33" s="110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7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10"/>
      <c r="AF34" s="110"/>
      <c r="AG34" s="110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7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10"/>
      <c r="AF35" s="110"/>
      <c r="AG35" s="110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7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10"/>
      <c r="AF36" s="110"/>
      <c r="AG36" s="110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7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10"/>
      <c r="AF37" s="110"/>
      <c r="AG37" s="110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7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10"/>
      <c r="AF38" s="110"/>
      <c r="AG38" s="110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7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10"/>
      <c r="AF39" s="110"/>
      <c r="AG39" s="110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7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10"/>
      <c r="AF40" s="110"/>
      <c r="AG40" s="110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7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10"/>
      <c r="AF41" s="110"/>
      <c r="AG41" s="110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2VtO3shvaVd+5zRaGWgOYSxvP0gljylfrccPyljw58AAewpxZ/Ys1ZB3Y82jZ5n4Za9AOTP2hKE+xmFM8sBSIw==" saltValue="dPqmHgW4kvYEX4dn6j3ytw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D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H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zoomScaleNormal="100" workbookViewId="0">
      <selection activeCell="N28" sqref="N2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2" t="s">
        <v>176</v>
      </c>
      <c r="B1" s="143"/>
      <c r="C1" s="144"/>
      <c r="D1" s="145" t="s">
        <v>177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32"/>
      <c r="W1" s="134" t="s">
        <v>175</v>
      </c>
      <c r="X1" s="135"/>
      <c r="Y1" s="136"/>
      <c r="Z1" s="71" t="s">
        <v>170</v>
      </c>
    </row>
    <row r="2" spans="1:26" ht="19.5" customHeight="1" x14ac:dyDescent="0.35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1"/>
      <c r="T2" s="148" t="s">
        <v>27</v>
      </c>
      <c r="U2" s="149" t="s">
        <v>99</v>
      </c>
      <c r="V2" s="133"/>
      <c r="W2" s="137" t="s">
        <v>42</v>
      </c>
      <c r="X2" s="137" t="s">
        <v>99</v>
      </c>
      <c r="Y2" s="137" t="s">
        <v>90</v>
      </c>
      <c r="Z2" s="131" t="s">
        <v>179</v>
      </c>
    </row>
    <row r="3" spans="1:26" ht="85" customHeight="1" x14ac:dyDescent="0.35">
      <c r="A3" s="150"/>
      <c r="B3" s="148"/>
      <c r="C3" s="150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268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48"/>
      <c r="U3" s="149"/>
      <c r="V3" s="133"/>
      <c r="W3" s="138"/>
      <c r="X3" s="138"/>
      <c r="Y3" s="138"/>
      <c r="Z3" s="131"/>
    </row>
    <row r="4" spans="1:26" ht="15.5" x14ac:dyDescent="0.35">
      <c r="A4" s="8">
        <f>'Data Siswa'!A2</f>
        <v>1</v>
      </c>
      <c r="B4" s="101" t="str">
        <f>'Data Siswa'!B2</f>
        <v>ADAM BAKRI</v>
      </c>
      <c r="C4" s="8" t="str">
        <f>'Data Siswa'!C2</f>
        <v>0414</v>
      </c>
      <c r="D4" s="15">
        <v>4</v>
      </c>
      <c r="E4" s="15">
        <v>4.5</v>
      </c>
      <c r="F4" s="15">
        <v>5</v>
      </c>
      <c r="G4" s="15">
        <v>4.5</v>
      </c>
      <c r="H4" s="15">
        <v>5</v>
      </c>
      <c r="I4" s="15">
        <v>4.5</v>
      </c>
      <c r="J4" s="15">
        <v>4</v>
      </c>
      <c r="K4" s="15">
        <v>4</v>
      </c>
      <c r="L4" s="15">
        <v>4</v>
      </c>
      <c r="M4" s="15">
        <v>4</v>
      </c>
      <c r="N4" s="15">
        <v>4</v>
      </c>
      <c r="O4" s="15">
        <v>5</v>
      </c>
      <c r="P4" s="15">
        <v>5</v>
      </c>
      <c r="Q4" s="15">
        <v>6</v>
      </c>
      <c r="R4" s="15">
        <v>5</v>
      </c>
      <c r="S4" s="15">
        <v>6</v>
      </c>
      <c r="T4" s="72">
        <f t="shared" ref="T4:T43" si="0">SUM(D4:S4)</f>
        <v>74.5</v>
      </c>
      <c r="U4" s="73">
        <f t="shared" ref="U4:U43" si="1">AVERAGE(D4:S4)</f>
        <v>4.65625</v>
      </c>
      <c r="V4" s="74"/>
      <c r="W4" s="72">
        <f>SUM('Nilai Tahriri'!AJ2,'Nilai Syafahi'!T4)</f>
        <v>248.5</v>
      </c>
      <c r="X4" s="73">
        <f>AVERAGE(D4:S4,'Nilai Tahriri'!D2:AI2)</f>
        <v>5.5222222222222221</v>
      </c>
      <c r="Y4" s="75">
        <f t="array" aca="1" ref="Y4" ca="1">SUM(IF(W4&lt;OFFSET($W$4,0,0,COUNT(W:W),1),1/COUNTIF(OFFSET($W$4,0,0,COUNT(W:W),1),OFFSET($W$4,0,0,COUNT(W:W),1))))+1</f>
        <v>16</v>
      </c>
      <c r="Z4" s="59" t="s">
        <v>280</v>
      </c>
    </row>
    <row r="5" spans="1:26" ht="15.5" x14ac:dyDescent="0.35">
      <c r="A5" s="8">
        <f>'Data Siswa'!A3</f>
        <v>2</v>
      </c>
      <c r="B5" s="102" t="str">
        <f>'Data Siswa'!B3</f>
        <v>AHMAD FAUZI</v>
      </c>
      <c r="C5" s="8" t="str">
        <f>'Data Siswa'!C3</f>
        <v>0415</v>
      </c>
      <c r="D5" s="15">
        <v>5.5</v>
      </c>
      <c r="E5" s="15">
        <v>5</v>
      </c>
      <c r="F5" s="15">
        <v>6</v>
      </c>
      <c r="G5" s="15">
        <v>5</v>
      </c>
      <c r="H5" s="15">
        <v>5.5</v>
      </c>
      <c r="I5" s="15">
        <v>4.5</v>
      </c>
      <c r="J5" s="15">
        <v>4</v>
      </c>
      <c r="K5" s="15">
        <v>4</v>
      </c>
      <c r="L5" s="15">
        <v>4</v>
      </c>
      <c r="M5" s="15">
        <v>4</v>
      </c>
      <c r="N5" s="15">
        <v>4</v>
      </c>
      <c r="O5" s="15">
        <v>5</v>
      </c>
      <c r="P5" s="15">
        <v>5</v>
      </c>
      <c r="Q5" s="15">
        <v>6</v>
      </c>
      <c r="R5" s="15">
        <v>5</v>
      </c>
      <c r="S5" s="15">
        <v>6</v>
      </c>
      <c r="T5" s="72">
        <f t="shared" si="0"/>
        <v>78.5</v>
      </c>
      <c r="U5" s="73">
        <f t="shared" si="1"/>
        <v>4.90625</v>
      </c>
      <c r="V5" s="74"/>
      <c r="W5" s="72">
        <f>SUM('Nilai Tahriri'!AJ3,'Nilai Syafahi'!T5)</f>
        <v>267</v>
      </c>
      <c r="X5" s="72">
        <f>AVERAGE(D5:S5,'Nilai Tahriri'!D3:AI3)</f>
        <v>5.9333333333333336</v>
      </c>
      <c r="Y5" s="75">
        <f t="array" aca="1" ref="Y5" ca="1">SUM(IF(W5&lt;OFFSET($W$4,0,0,COUNT(W:W),1),1/COUNTIF(OFFSET($W$4,0,0,COUNT(W:W),1),OFFSET($W$4,0,0,COUNT(W:W),1))))+1</f>
        <v>7</v>
      </c>
      <c r="Z5" s="59" t="s">
        <v>280</v>
      </c>
    </row>
    <row r="6" spans="1:26" ht="15.5" x14ac:dyDescent="0.35">
      <c r="A6" s="8">
        <f>'Data Siswa'!A4</f>
        <v>3</v>
      </c>
      <c r="B6" s="101" t="str">
        <f>'Data Siswa'!B4</f>
        <v>AHMAD NUR NGALIM</v>
      </c>
      <c r="C6" s="8" t="str">
        <f>'Data Siswa'!C4</f>
        <v>0416</v>
      </c>
      <c r="D6" s="15">
        <v>5.5</v>
      </c>
      <c r="E6" s="15">
        <v>6</v>
      </c>
      <c r="F6" s="15">
        <v>5</v>
      </c>
      <c r="G6" s="15">
        <v>5.5</v>
      </c>
      <c r="H6" s="15">
        <v>5</v>
      </c>
      <c r="I6" s="15">
        <v>4.5</v>
      </c>
      <c r="J6" s="15">
        <v>4</v>
      </c>
      <c r="K6" s="15">
        <v>4</v>
      </c>
      <c r="L6" s="15">
        <v>4</v>
      </c>
      <c r="M6" s="15">
        <v>4</v>
      </c>
      <c r="N6" s="15">
        <v>4</v>
      </c>
      <c r="O6" s="15">
        <v>5</v>
      </c>
      <c r="P6" s="15">
        <v>5</v>
      </c>
      <c r="Q6" s="15">
        <v>5</v>
      </c>
      <c r="R6" s="15">
        <v>5</v>
      </c>
      <c r="S6" s="15">
        <v>6</v>
      </c>
      <c r="T6" s="72">
        <f t="shared" si="0"/>
        <v>77.5</v>
      </c>
      <c r="U6" s="73">
        <f t="shared" si="1"/>
        <v>4.84375</v>
      </c>
      <c r="V6" s="74"/>
      <c r="W6" s="72">
        <f>SUM('Nilai Tahriri'!AJ4,'Nilai Syafahi'!T6)</f>
        <v>253.6</v>
      </c>
      <c r="X6" s="72">
        <f>AVERAGE(D6:S6,'Nilai Tahriri'!D4:AI4)</f>
        <v>5.6355555555555554</v>
      </c>
      <c r="Y6" s="75">
        <f t="array" aca="1" ref="Y6" ca="1">SUM(IF(W6&lt;OFFSET($W$4,0,0,COUNT(W:W),1),1/COUNTIF(OFFSET($W$4,0,0,COUNT(W:W),1),OFFSET($W$4,0,0,COUNT(W:W),1))))+1</f>
        <v>13</v>
      </c>
      <c r="Z6" s="59" t="s">
        <v>280</v>
      </c>
    </row>
    <row r="7" spans="1:26" ht="15.5" x14ac:dyDescent="0.35">
      <c r="A7" s="8">
        <f>'Data Siswa'!A5</f>
        <v>4</v>
      </c>
      <c r="B7" s="101" t="str">
        <f>'Data Siswa'!B5</f>
        <v>BAYU DIRGANTARA</v>
      </c>
      <c r="C7" s="8" t="str">
        <f>'Data Siswa'!C5</f>
        <v>0417</v>
      </c>
      <c r="D7" s="15">
        <v>4.5</v>
      </c>
      <c r="E7" s="15">
        <v>4</v>
      </c>
      <c r="F7" s="15">
        <v>4.5</v>
      </c>
      <c r="G7" s="15">
        <v>4.5</v>
      </c>
      <c r="H7" s="15">
        <v>5</v>
      </c>
      <c r="I7" s="15">
        <v>4.5</v>
      </c>
      <c r="J7" s="15">
        <v>4</v>
      </c>
      <c r="K7" s="15">
        <v>4</v>
      </c>
      <c r="L7" s="15">
        <v>4</v>
      </c>
      <c r="M7" s="15">
        <v>4</v>
      </c>
      <c r="N7" s="15">
        <v>4</v>
      </c>
      <c r="O7" s="15">
        <v>5</v>
      </c>
      <c r="P7" s="15">
        <v>5</v>
      </c>
      <c r="Q7" s="15">
        <v>5</v>
      </c>
      <c r="R7" s="15">
        <v>5</v>
      </c>
      <c r="S7" s="15">
        <v>5</v>
      </c>
      <c r="T7" s="72">
        <f t="shared" si="0"/>
        <v>72</v>
      </c>
      <c r="U7" s="73">
        <f t="shared" si="1"/>
        <v>4.5</v>
      </c>
      <c r="V7" s="74"/>
      <c r="W7" s="72">
        <f>SUM('Nilai Tahriri'!AJ5,'Nilai Syafahi'!T7)</f>
        <v>243</v>
      </c>
      <c r="X7" s="72">
        <f>AVERAGE(D7:S7,'Nilai Tahriri'!D5:AI5)</f>
        <v>5.4</v>
      </c>
      <c r="Y7" s="75">
        <f t="array" aca="1" ref="Y7" ca="1">SUM(IF(W7&lt;OFFSET($W$4,0,0,COUNT(W:W),1),1/COUNTIF(OFFSET($W$4,0,0,COUNT(W:W),1),OFFSET($W$4,0,0,COUNT(W:W),1))))+1</f>
        <v>18</v>
      </c>
      <c r="Z7" s="59" t="s">
        <v>280</v>
      </c>
    </row>
    <row r="8" spans="1:26" ht="15.5" x14ac:dyDescent="0.35">
      <c r="A8" s="8">
        <f>'Data Siswa'!A6</f>
        <v>5</v>
      </c>
      <c r="B8" s="101" t="str">
        <f>'Data Siswa'!B6</f>
        <v>DIAS PURNAMA YASA</v>
      </c>
      <c r="C8" s="8" t="str">
        <f>'Data Siswa'!C6</f>
        <v>0418</v>
      </c>
      <c r="D8" s="15">
        <v>4.5</v>
      </c>
      <c r="E8" s="15">
        <v>4.5</v>
      </c>
      <c r="F8" s="15">
        <v>5</v>
      </c>
      <c r="G8" s="15">
        <v>4</v>
      </c>
      <c r="H8" s="15">
        <v>4.5</v>
      </c>
      <c r="I8" s="15">
        <v>4.5</v>
      </c>
      <c r="J8" s="15">
        <v>4</v>
      </c>
      <c r="K8" s="15">
        <v>4</v>
      </c>
      <c r="L8" s="15">
        <v>4</v>
      </c>
      <c r="M8" s="15">
        <v>4</v>
      </c>
      <c r="N8" s="15">
        <v>4</v>
      </c>
      <c r="O8" s="15"/>
      <c r="P8" s="15"/>
      <c r="Q8" s="15"/>
      <c r="R8" s="15"/>
      <c r="S8" s="15"/>
      <c r="T8" s="72">
        <f t="shared" si="0"/>
        <v>47</v>
      </c>
      <c r="U8" s="73">
        <f t="shared" si="1"/>
        <v>4.2727272727272725</v>
      </c>
      <c r="V8" s="74"/>
      <c r="W8" s="72">
        <f>SUM('Nilai Tahriri'!AJ6,'Nilai Syafahi'!T8)</f>
        <v>126</v>
      </c>
      <c r="X8" s="72">
        <f>AVERAGE(D8:S8,'Nilai Tahriri'!D6:AI6)</f>
        <v>5.04</v>
      </c>
      <c r="Y8" s="75">
        <f t="array" aca="1" ref="Y8" ca="1">SUM(IF(W8&lt;OFFSET($W$4,0,0,COUNT(W:W),1),1/COUNTIF(OFFSET($W$4,0,0,COUNT(W:W),1),OFFSET($W$4,0,0,COUNT(W:W),1))))+1</f>
        <v>21</v>
      </c>
      <c r="Z8" s="59" t="s">
        <v>280</v>
      </c>
    </row>
    <row r="9" spans="1:26" ht="15.5" x14ac:dyDescent="0.35">
      <c r="A9" s="8">
        <f>'Data Siswa'!A7</f>
        <v>6</v>
      </c>
      <c r="B9" s="101" t="str">
        <f>'Data Siswa'!B7</f>
        <v>FATAHILLAH DANIAL</v>
      </c>
      <c r="C9" s="8" t="str">
        <f>'Data Siswa'!C7</f>
        <v>0419</v>
      </c>
      <c r="D9" s="15">
        <v>6</v>
      </c>
      <c r="E9" s="15">
        <v>5</v>
      </c>
      <c r="F9" s="15">
        <v>6</v>
      </c>
      <c r="G9" s="15">
        <v>6</v>
      </c>
      <c r="H9" s="15">
        <v>6</v>
      </c>
      <c r="I9" s="15">
        <v>5</v>
      </c>
      <c r="J9" s="15">
        <v>6.5</v>
      </c>
      <c r="K9" s="15">
        <v>6.5</v>
      </c>
      <c r="L9" s="15">
        <v>6.5</v>
      </c>
      <c r="M9" s="15">
        <v>6.5</v>
      </c>
      <c r="N9" s="15">
        <v>6.5</v>
      </c>
      <c r="O9" s="15">
        <v>6</v>
      </c>
      <c r="P9" s="15">
        <v>5</v>
      </c>
      <c r="Q9" s="15">
        <v>6</v>
      </c>
      <c r="R9" s="15">
        <v>5</v>
      </c>
      <c r="S9" s="15">
        <v>6</v>
      </c>
      <c r="T9" s="72">
        <f t="shared" si="0"/>
        <v>94.5</v>
      </c>
      <c r="U9" s="73">
        <f t="shared" si="1"/>
        <v>5.90625</v>
      </c>
      <c r="V9" s="74"/>
      <c r="W9" s="72">
        <f>SUM('Nilai Tahriri'!AJ7,'Nilai Syafahi'!T9)</f>
        <v>279.5</v>
      </c>
      <c r="X9" s="72">
        <f>AVERAGE(D9:S9,'Nilai Tahriri'!D7:AI7)</f>
        <v>6.2111111111111112</v>
      </c>
      <c r="Y9" s="75">
        <f t="array" aca="1" ref="Y9" ca="1">SUM(IF(W9&lt;OFFSET($W$4,0,0,COUNT(W:W),1),1/COUNTIF(OFFSET($W$4,0,0,COUNT(W:W),1),OFFSET($W$4,0,0,COUNT(W:W),1))))+1</f>
        <v>4</v>
      </c>
      <c r="Z9" s="59" t="s">
        <v>280</v>
      </c>
    </row>
    <row r="10" spans="1:26" ht="15.5" x14ac:dyDescent="0.35">
      <c r="A10" s="8">
        <f>'Data Siswa'!A8</f>
        <v>7</v>
      </c>
      <c r="B10" s="101" t="str">
        <f>'Data Siswa'!B8</f>
        <v>GIBRAN PRADANA</v>
      </c>
      <c r="C10" s="8" t="str">
        <f>'Data Siswa'!C8</f>
        <v>0420</v>
      </c>
      <c r="D10" s="15">
        <v>6</v>
      </c>
      <c r="E10" s="15">
        <v>6</v>
      </c>
      <c r="F10" s="15">
        <v>5</v>
      </c>
      <c r="G10" s="15">
        <v>5.5</v>
      </c>
      <c r="H10" s="15">
        <v>5.5</v>
      </c>
      <c r="I10" s="15">
        <v>5.5</v>
      </c>
      <c r="J10" s="15">
        <v>5</v>
      </c>
      <c r="K10" s="15">
        <v>5</v>
      </c>
      <c r="L10" s="15">
        <v>5</v>
      </c>
      <c r="M10" s="15">
        <v>5</v>
      </c>
      <c r="N10" s="15">
        <v>5</v>
      </c>
      <c r="O10" s="15">
        <v>5</v>
      </c>
      <c r="P10" s="15">
        <v>5</v>
      </c>
      <c r="Q10" s="15">
        <v>5</v>
      </c>
      <c r="R10" s="15">
        <v>5</v>
      </c>
      <c r="S10" s="15">
        <v>6</v>
      </c>
      <c r="T10" s="72">
        <f t="shared" si="0"/>
        <v>84.5</v>
      </c>
      <c r="U10" s="73">
        <f t="shared" si="1"/>
        <v>5.28125</v>
      </c>
      <c r="V10" s="74"/>
      <c r="W10" s="72">
        <f>SUM('Nilai Tahriri'!AJ8,'Nilai Syafahi'!T10)</f>
        <v>254.5</v>
      </c>
      <c r="X10" s="72">
        <f>AVERAGE(D10:S10,'Nilai Tahriri'!D8:AI8)</f>
        <v>5.6555555555555559</v>
      </c>
      <c r="Y10" s="75">
        <f t="array" aca="1" ref="Y10" ca="1">SUM(IF(W10&lt;OFFSET($W$4,0,0,COUNT(W:W),1),1/COUNTIF(OFFSET($W$4,0,0,COUNT(W:W),1),OFFSET($W$4,0,0,COUNT(W:W),1))))+1</f>
        <v>11</v>
      </c>
      <c r="Z10" s="59" t="s">
        <v>280</v>
      </c>
    </row>
    <row r="11" spans="1:26" ht="15.5" x14ac:dyDescent="0.35">
      <c r="A11" s="8">
        <f>'Data Siswa'!A9</f>
        <v>8</v>
      </c>
      <c r="B11" s="101" t="str">
        <f>'Data Siswa'!B9</f>
        <v>GILANG PAHRI AKBAR</v>
      </c>
      <c r="C11" s="8" t="str">
        <f>'Data Siswa'!C9</f>
        <v>0421</v>
      </c>
      <c r="D11" s="15">
        <v>6</v>
      </c>
      <c r="E11" s="15">
        <v>5</v>
      </c>
      <c r="F11" s="15">
        <v>6</v>
      </c>
      <c r="G11" s="15">
        <v>5.5</v>
      </c>
      <c r="H11" s="15">
        <v>5.5</v>
      </c>
      <c r="I11" s="15">
        <v>6</v>
      </c>
      <c r="J11" s="15">
        <v>5</v>
      </c>
      <c r="K11" s="15">
        <v>5</v>
      </c>
      <c r="L11" s="15">
        <v>5</v>
      </c>
      <c r="M11" s="15">
        <v>5</v>
      </c>
      <c r="N11" s="15">
        <v>5</v>
      </c>
      <c r="O11" s="15">
        <v>5</v>
      </c>
      <c r="P11" s="15">
        <v>5</v>
      </c>
      <c r="Q11" s="15">
        <v>5</v>
      </c>
      <c r="R11" s="15">
        <v>5</v>
      </c>
      <c r="S11" s="15">
        <v>6</v>
      </c>
      <c r="T11" s="72">
        <f t="shared" si="0"/>
        <v>85</v>
      </c>
      <c r="U11" s="73">
        <f t="shared" si="1"/>
        <v>5.3125</v>
      </c>
      <c r="V11" s="74"/>
      <c r="W11" s="72">
        <f>SUM('Nilai Tahriri'!AJ9,'Nilai Syafahi'!T11)</f>
        <v>262.5</v>
      </c>
      <c r="X11" s="72">
        <f>AVERAGE(D11:S11,'Nilai Tahriri'!D9:AI9)</f>
        <v>5.833333333333333</v>
      </c>
      <c r="Y11" s="75">
        <f t="array" aca="1" ref="Y11" ca="1">SUM(IF(W11&lt;OFFSET($W$4,0,0,COUNT(W:W),1),1/COUNTIF(OFFSET($W$4,0,0,COUNT(W:W),1),OFFSET($W$4,0,0,COUNT(W:W),1))))+1</f>
        <v>8</v>
      </c>
      <c r="Z11" s="59" t="s">
        <v>280</v>
      </c>
    </row>
    <row r="12" spans="1:26" ht="15.5" x14ac:dyDescent="0.35">
      <c r="A12" s="8">
        <f>'Data Siswa'!A10</f>
        <v>9</v>
      </c>
      <c r="B12" s="101" t="str">
        <f>'Data Siswa'!B10</f>
        <v>ILHAM HABIBIE</v>
      </c>
      <c r="C12" s="8" t="str">
        <f>'Data Siswa'!C10</f>
        <v>0422</v>
      </c>
      <c r="D12" s="15">
        <v>6</v>
      </c>
      <c r="E12" s="15">
        <v>5</v>
      </c>
      <c r="F12" s="15">
        <v>5</v>
      </c>
      <c r="G12" s="15">
        <v>6</v>
      </c>
      <c r="H12" s="15">
        <v>6</v>
      </c>
      <c r="I12" s="15">
        <v>4.5</v>
      </c>
      <c r="J12" s="15">
        <v>5</v>
      </c>
      <c r="K12" s="15">
        <v>5</v>
      </c>
      <c r="L12" s="15">
        <v>5</v>
      </c>
      <c r="M12" s="15">
        <v>5</v>
      </c>
      <c r="N12" s="15">
        <v>5</v>
      </c>
      <c r="O12" s="15">
        <v>6</v>
      </c>
      <c r="P12" s="15">
        <v>6</v>
      </c>
      <c r="Q12" s="15">
        <v>5</v>
      </c>
      <c r="R12" s="15">
        <v>5</v>
      </c>
      <c r="S12" s="15">
        <v>6</v>
      </c>
      <c r="T12" s="72">
        <f t="shared" si="0"/>
        <v>85.5</v>
      </c>
      <c r="U12" s="73">
        <f t="shared" si="1"/>
        <v>5.34375</v>
      </c>
      <c r="V12" s="74"/>
      <c r="W12" s="72">
        <f>SUM('Nilai Tahriri'!AJ10,'Nilai Syafahi'!T12)</f>
        <v>290</v>
      </c>
      <c r="X12" s="72">
        <f>AVERAGE(D12:S12,'Nilai Tahriri'!D10:AI10)</f>
        <v>6.4444444444444446</v>
      </c>
      <c r="Y12" s="75">
        <f t="array" aca="1" ref="Y12" ca="1">SUM(IF(W12&lt;OFFSET($W$4,0,0,COUNT(W:W),1),1/COUNTIF(OFFSET($W$4,0,0,COUNT(W:W),1),OFFSET($W$4,0,0,COUNT(W:W),1))))+1</f>
        <v>3</v>
      </c>
      <c r="Z12" s="59" t="s">
        <v>280</v>
      </c>
    </row>
    <row r="13" spans="1:26" ht="15.5" x14ac:dyDescent="0.35">
      <c r="A13" s="8">
        <f>'Data Siswa'!A11</f>
        <v>10</v>
      </c>
      <c r="B13" s="101" t="str">
        <f>'Data Siswa'!B11</f>
        <v>MUHAMAD MARIO</v>
      </c>
      <c r="C13" s="8" t="str">
        <f>'Data Siswa'!C11</f>
        <v>0423</v>
      </c>
      <c r="D13" s="15">
        <v>5</v>
      </c>
      <c r="E13" s="15">
        <v>4.5</v>
      </c>
      <c r="F13" s="15">
        <v>5</v>
      </c>
      <c r="G13" s="15">
        <v>4.5</v>
      </c>
      <c r="H13" s="15">
        <v>5</v>
      </c>
      <c r="I13" s="15">
        <v>4.5</v>
      </c>
      <c r="J13" s="15">
        <v>4.5</v>
      </c>
      <c r="K13" s="15">
        <v>4.5</v>
      </c>
      <c r="L13" s="15">
        <v>4.5</v>
      </c>
      <c r="M13" s="15">
        <v>4.5</v>
      </c>
      <c r="N13" s="15">
        <v>4.5</v>
      </c>
      <c r="O13" s="15">
        <v>5</v>
      </c>
      <c r="P13" s="15">
        <v>5</v>
      </c>
      <c r="Q13" s="15">
        <v>5</v>
      </c>
      <c r="R13" s="15">
        <v>5</v>
      </c>
      <c r="S13" s="15">
        <v>5</v>
      </c>
      <c r="T13" s="72">
        <f t="shared" si="0"/>
        <v>76</v>
      </c>
      <c r="U13" s="73">
        <f t="shared" si="1"/>
        <v>4.75</v>
      </c>
      <c r="V13" s="74"/>
      <c r="W13" s="72">
        <f>SUM('Nilai Tahriri'!AJ11,'Nilai Syafahi'!T13)</f>
        <v>252</v>
      </c>
      <c r="X13" s="72">
        <f>AVERAGE(D13:S13,'Nilai Tahriri'!D11:AI11)</f>
        <v>5.6</v>
      </c>
      <c r="Y13" s="75">
        <f t="array" aca="1" ref="Y13" ca="1">SUM(IF(W13&lt;OFFSET($W$4,0,0,COUNT(W:W),1),1/COUNTIF(OFFSET($W$4,0,0,COUNT(W:W),1),OFFSET($W$4,0,0,COUNT(W:W),1))))+1</f>
        <v>14</v>
      </c>
      <c r="Z13" s="59" t="s">
        <v>280</v>
      </c>
    </row>
    <row r="14" spans="1:26" ht="15.5" x14ac:dyDescent="0.35">
      <c r="A14" s="8">
        <f>'Data Siswa'!A12</f>
        <v>11</v>
      </c>
      <c r="B14" s="101" t="str">
        <f>'Data Siswa'!B12</f>
        <v>MUHAMMAD ARIEF RAHMAN</v>
      </c>
      <c r="C14" s="8" t="str">
        <f>'Data Siswa'!C12</f>
        <v>0424</v>
      </c>
      <c r="D14" s="15">
        <v>4.5</v>
      </c>
      <c r="E14" s="15">
        <v>5</v>
      </c>
      <c r="F14" s="15">
        <v>4.5</v>
      </c>
      <c r="G14" s="15">
        <v>5</v>
      </c>
      <c r="H14" s="15">
        <v>5.5</v>
      </c>
      <c r="I14" s="15">
        <v>4.5</v>
      </c>
      <c r="J14" s="15">
        <v>4</v>
      </c>
      <c r="K14" s="15">
        <v>4</v>
      </c>
      <c r="L14" s="15">
        <v>4</v>
      </c>
      <c r="M14" s="15">
        <v>4</v>
      </c>
      <c r="N14" s="15">
        <v>4</v>
      </c>
      <c r="O14" s="15">
        <v>5</v>
      </c>
      <c r="P14" s="15">
        <v>5</v>
      </c>
      <c r="Q14" s="15">
        <v>5</v>
      </c>
      <c r="R14" s="15">
        <v>5</v>
      </c>
      <c r="S14" s="15">
        <v>5</v>
      </c>
      <c r="T14" s="72">
        <f t="shared" si="0"/>
        <v>74</v>
      </c>
      <c r="U14" s="73">
        <f t="shared" si="1"/>
        <v>4.625</v>
      </c>
      <c r="V14" s="74"/>
      <c r="W14" s="72">
        <f>SUM('Nilai Tahriri'!AJ12,'Nilai Syafahi'!T14)</f>
        <v>245.5</v>
      </c>
      <c r="X14" s="72">
        <f>AVERAGE(D14:S14,'Nilai Tahriri'!D12:AI12)</f>
        <v>5.4555555555555557</v>
      </c>
      <c r="Y14" s="75">
        <f t="array" aca="1" ref="Y14" ca="1">SUM(IF(W14&lt;OFFSET($W$4,0,0,COUNT(W:W),1),1/COUNTIF(OFFSET($W$4,0,0,COUNT(W:W),1),OFFSET($W$4,0,0,COUNT(W:W),1))))+1</f>
        <v>17</v>
      </c>
      <c r="Z14" s="59" t="s">
        <v>280</v>
      </c>
    </row>
    <row r="15" spans="1:26" ht="15.5" x14ac:dyDescent="0.35">
      <c r="A15" s="8">
        <f>'Data Siswa'!A13</f>
        <v>12</v>
      </c>
      <c r="B15" s="101" t="str">
        <f>'Data Siswa'!B13</f>
        <v>MUHAMMAD FADHILAH ALBARI</v>
      </c>
      <c r="C15" s="8" t="str">
        <f>'Data Siswa'!C13</f>
        <v>0425</v>
      </c>
      <c r="D15" s="15">
        <v>6</v>
      </c>
      <c r="E15" s="15">
        <v>6</v>
      </c>
      <c r="F15" s="15">
        <v>6</v>
      </c>
      <c r="G15" s="15">
        <v>7</v>
      </c>
      <c r="H15" s="15">
        <v>6</v>
      </c>
      <c r="I15" s="15">
        <v>5</v>
      </c>
      <c r="J15" s="15">
        <v>4</v>
      </c>
      <c r="K15" s="15">
        <v>4</v>
      </c>
      <c r="L15" s="15">
        <v>4</v>
      </c>
      <c r="M15" s="15">
        <v>4</v>
      </c>
      <c r="N15" s="15">
        <v>4</v>
      </c>
      <c r="O15" s="15">
        <v>6</v>
      </c>
      <c r="P15" s="15">
        <v>6</v>
      </c>
      <c r="Q15" s="15">
        <v>6</v>
      </c>
      <c r="R15" s="15">
        <v>5</v>
      </c>
      <c r="S15" s="15">
        <v>6</v>
      </c>
      <c r="T15" s="72">
        <f t="shared" si="0"/>
        <v>85</v>
      </c>
      <c r="U15" s="73">
        <f t="shared" si="1"/>
        <v>5.3125</v>
      </c>
      <c r="V15" s="74"/>
      <c r="W15" s="72">
        <f>SUM('Nilai Tahriri'!AJ13,'Nilai Syafahi'!T15)</f>
        <v>276</v>
      </c>
      <c r="X15" s="72">
        <f>AVERAGE(D15:S15,'Nilai Tahriri'!D13:AI13)</f>
        <v>6.1333333333333337</v>
      </c>
      <c r="Y15" s="75">
        <f t="array" aca="1" ref="Y15" ca="1">SUM(IF(W15&lt;OFFSET($W$4,0,0,COUNT(W:W),1),1/COUNTIF(OFFSET($W$4,0,0,COUNT(W:W),1),OFFSET($W$4,0,0,COUNT(W:W),1))))+1</f>
        <v>5</v>
      </c>
      <c r="Z15" s="59" t="s">
        <v>280</v>
      </c>
    </row>
    <row r="16" spans="1:26" ht="15.5" x14ac:dyDescent="0.35">
      <c r="A16" s="8">
        <f>'Data Siswa'!A14</f>
        <v>13</v>
      </c>
      <c r="B16" s="101" t="str">
        <f>'Data Siswa'!B14</f>
        <v>MUHAMMAD FAIZ FATHANNA'IM</v>
      </c>
      <c r="C16" s="8" t="str">
        <f>'Data Siswa'!C14</f>
        <v>0426</v>
      </c>
      <c r="D16" s="15">
        <v>4</v>
      </c>
      <c r="E16" s="15">
        <v>5</v>
      </c>
      <c r="F16" s="15">
        <v>4.5</v>
      </c>
      <c r="G16" s="15">
        <v>4.5</v>
      </c>
      <c r="H16" s="15">
        <v>5</v>
      </c>
      <c r="I16" s="15">
        <v>4.5</v>
      </c>
      <c r="J16" s="15">
        <v>4</v>
      </c>
      <c r="K16" s="15">
        <v>4</v>
      </c>
      <c r="L16" s="15">
        <v>4</v>
      </c>
      <c r="M16" s="15">
        <v>4</v>
      </c>
      <c r="N16" s="15">
        <v>4</v>
      </c>
      <c r="O16" s="15">
        <v>5.5</v>
      </c>
      <c r="P16" s="15">
        <v>5.5</v>
      </c>
      <c r="Q16" s="15">
        <v>5</v>
      </c>
      <c r="R16" s="15">
        <v>5</v>
      </c>
      <c r="S16" s="15">
        <v>5</v>
      </c>
      <c r="T16" s="72">
        <f t="shared" si="0"/>
        <v>73.5</v>
      </c>
      <c r="U16" s="73">
        <f t="shared" si="1"/>
        <v>4.59375</v>
      </c>
      <c r="V16" s="74"/>
      <c r="W16" s="72">
        <f>SUM('Nilai Tahriri'!AJ14,'Nilai Syafahi'!T16)</f>
        <v>251.5</v>
      </c>
      <c r="X16" s="72">
        <f>AVERAGE(D16:S16,'Nilai Tahriri'!D14:AI14)</f>
        <v>5.5888888888888886</v>
      </c>
      <c r="Y16" s="75">
        <f t="array" aca="1" ref="Y16" ca="1">SUM(IF(W16&lt;OFFSET($W$4,0,0,COUNT(W:W),1),1/COUNTIF(OFFSET($W$4,0,0,COUNT(W:W),1),OFFSET($W$4,0,0,COUNT(W:W),1))))+1</f>
        <v>15</v>
      </c>
      <c r="Z16" s="59" t="s">
        <v>280</v>
      </c>
    </row>
    <row r="17" spans="1:26" ht="15.5" x14ac:dyDescent="0.35">
      <c r="A17" s="8">
        <f>'Data Siswa'!A15</f>
        <v>14</v>
      </c>
      <c r="B17" s="101" t="str">
        <f>'Data Siswa'!B15</f>
        <v>MUHAMMAD FAKHRI</v>
      </c>
      <c r="C17" s="8" t="str">
        <f>'Data Siswa'!C15</f>
        <v>0427</v>
      </c>
      <c r="D17" s="15">
        <v>4</v>
      </c>
      <c r="E17" s="15">
        <v>4.5</v>
      </c>
      <c r="F17" s="15">
        <v>5</v>
      </c>
      <c r="G17" s="15">
        <v>5.5</v>
      </c>
      <c r="H17" s="15">
        <v>5</v>
      </c>
      <c r="I17" s="15">
        <v>5</v>
      </c>
      <c r="J17" s="15">
        <v>4.5</v>
      </c>
      <c r="K17" s="15">
        <v>4.5</v>
      </c>
      <c r="L17" s="15">
        <v>4.5</v>
      </c>
      <c r="M17" s="15">
        <v>4.5</v>
      </c>
      <c r="N17" s="15">
        <v>4.5</v>
      </c>
      <c r="O17" s="15">
        <v>7</v>
      </c>
      <c r="P17" s="15">
        <v>8</v>
      </c>
      <c r="Q17" s="15">
        <v>7</v>
      </c>
      <c r="R17" s="15">
        <v>6</v>
      </c>
      <c r="S17" s="15">
        <v>6</v>
      </c>
      <c r="T17" s="72">
        <f t="shared" si="0"/>
        <v>85.5</v>
      </c>
      <c r="U17" s="73">
        <f t="shared" si="1"/>
        <v>5.34375</v>
      </c>
      <c r="V17" s="74"/>
      <c r="W17" s="72">
        <f>SUM('Nilai Tahriri'!AJ15,'Nilai Syafahi'!T17)</f>
        <v>291</v>
      </c>
      <c r="X17" s="72">
        <f>AVERAGE(D17:S17,'Nilai Tahriri'!D15:AI15)</f>
        <v>6.4666666666666668</v>
      </c>
      <c r="Y17" s="75">
        <f t="array" aca="1" ref="Y17" ca="1">SUM(IF(W17&lt;OFFSET($W$4,0,0,COUNT(W:W),1),1/COUNTIF(OFFSET($W$4,0,0,COUNT(W:W),1),OFFSET($W$4,0,0,COUNT(W:W),1))))+1</f>
        <v>2</v>
      </c>
      <c r="Z17" s="59" t="s">
        <v>280</v>
      </c>
    </row>
    <row r="18" spans="1:26" ht="15.5" x14ac:dyDescent="0.35">
      <c r="A18" s="8">
        <f>'Data Siswa'!A16</f>
        <v>15</v>
      </c>
      <c r="B18" s="101" t="str">
        <f>'Data Siswa'!B16</f>
        <v>MUHAMMAD HAFIZ SIHABUDIN</v>
      </c>
      <c r="C18" s="8" t="str">
        <f>'Data Siswa'!C16</f>
        <v>0428</v>
      </c>
      <c r="D18" s="15">
        <v>6</v>
      </c>
      <c r="E18" s="15">
        <v>5</v>
      </c>
      <c r="F18" s="15">
        <v>6</v>
      </c>
      <c r="G18" s="15">
        <v>5.5</v>
      </c>
      <c r="H18" s="15">
        <v>5.5</v>
      </c>
      <c r="I18" s="15">
        <v>5</v>
      </c>
      <c r="J18" s="15">
        <v>4.5</v>
      </c>
      <c r="K18" s="15">
        <v>4.5</v>
      </c>
      <c r="L18" s="15">
        <v>4.5</v>
      </c>
      <c r="M18" s="15">
        <v>4.5</v>
      </c>
      <c r="N18" s="15">
        <v>4.5</v>
      </c>
      <c r="O18" s="15">
        <v>6</v>
      </c>
      <c r="P18" s="15">
        <v>5</v>
      </c>
      <c r="Q18" s="15">
        <v>5</v>
      </c>
      <c r="R18" s="15">
        <v>6</v>
      </c>
      <c r="S18" s="15">
        <v>6</v>
      </c>
      <c r="T18" s="72">
        <f t="shared" si="0"/>
        <v>83.5</v>
      </c>
      <c r="U18" s="73">
        <f t="shared" si="1"/>
        <v>5.21875</v>
      </c>
      <c r="V18" s="74"/>
      <c r="W18" s="72">
        <f>SUM('Nilai Tahriri'!AJ16,'Nilai Syafahi'!T18)</f>
        <v>271.5</v>
      </c>
      <c r="X18" s="72">
        <f>AVERAGE(D18:S18,'Nilai Tahriri'!D16:AI16)</f>
        <v>6.0333333333333332</v>
      </c>
      <c r="Y18" s="75">
        <f t="array" aca="1" ref="Y18" ca="1">SUM(IF(W18&lt;OFFSET($W$4,0,0,COUNT(W:W),1),1/COUNTIF(OFFSET($W$4,0,0,COUNT(W:W),1),OFFSET($W$4,0,0,COUNT(W:W),1))))+1</f>
        <v>6</v>
      </c>
      <c r="Z18" s="59" t="s">
        <v>280</v>
      </c>
    </row>
    <row r="19" spans="1:26" ht="15.5" x14ac:dyDescent="0.35">
      <c r="A19" s="8">
        <f>'Data Siswa'!A17</f>
        <v>16</v>
      </c>
      <c r="B19" s="101" t="str">
        <f>'Data Siswa'!B17</f>
        <v>MUHAMMAD MUMU NAJMUDIN</v>
      </c>
      <c r="C19" s="8" t="str">
        <f>'Data Siswa'!C17</f>
        <v>0429</v>
      </c>
      <c r="D19" s="15">
        <v>5</v>
      </c>
      <c r="E19" s="15">
        <v>4.5</v>
      </c>
      <c r="F19" s="15">
        <v>4</v>
      </c>
      <c r="G19" s="15">
        <v>5</v>
      </c>
      <c r="H19" s="15">
        <v>4.5</v>
      </c>
      <c r="I19" s="15">
        <v>6</v>
      </c>
      <c r="J19" s="15">
        <v>6</v>
      </c>
      <c r="K19" s="15">
        <v>6</v>
      </c>
      <c r="L19" s="15">
        <v>6</v>
      </c>
      <c r="M19" s="15">
        <v>6</v>
      </c>
      <c r="N19" s="15">
        <v>6</v>
      </c>
      <c r="O19" s="15">
        <v>5</v>
      </c>
      <c r="P19" s="15">
        <v>5</v>
      </c>
      <c r="Q19" s="15">
        <v>6</v>
      </c>
      <c r="R19" s="15">
        <v>5</v>
      </c>
      <c r="S19" s="15">
        <v>6</v>
      </c>
      <c r="T19" s="72">
        <f t="shared" si="0"/>
        <v>86</v>
      </c>
      <c r="U19" s="73">
        <f t="shared" si="1"/>
        <v>5.375</v>
      </c>
      <c r="V19" s="74"/>
      <c r="W19" s="72">
        <f>SUM('Nilai Tahriri'!AJ17,'Nilai Syafahi'!T19)</f>
        <v>254</v>
      </c>
      <c r="X19" s="72">
        <f>AVERAGE(D19:S19,'Nilai Tahriri'!D17:AI17)</f>
        <v>5.6444444444444448</v>
      </c>
      <c r="Y19" s="75">
        <f t="array" aca="1" ref="Y19" ca="1">SUM(IF(W19&lt;OFFSET($W$4,0,0,COUNT(W:W),1),1/COUNTIF(OFFSET($W$4,0,0,COUNT(W:W),1),OFFSET($W$4,0,0,COUNT(W:W),1))))+1</f>
        <v>12</v>
      </c>
      <c r="Z19" s="59" t="s">
        <v>280</v>
      </c>
    </row>
    <row r="20" spans="1:26" ht="15.5" x14ac:dyDescent="0.35">
      <c r="A20" s="8">
        <f>'Data Siswa'!A18</f>
        <v>17</v>
      </c>
      <c r="B20" s="101" t="str">
        <f>'Data Siswa'!B18</f>
        <v>MUHAMMAD RHOMI FAHREZI</v>
      </c>
      <c r="C20" s="8" t="str">
        <f>'Data Siswa'!C18</f>
        <v>0430</v>
      </c>
      <c r="D20" s="15">
        <v>6</v>
      </c>
      <c r="E20" s="15">
        <v>6</v>
      </c>
      <c r="F20" s="15">
        <v>5</v>
      </c>
      <c r="G20" s="15">
        <v>5.5</v>
      </c>
      <c r="H20" s="15">
        <v>5.5</v>
      </c>
      <c r="I20" s="15">
        <v>6</v>
      </c>
      <c r="J20" s="15">
        <v>5.5</v>
      </c>
      <c r="K20" s="15">
        <v>5.5</v>
      </c>
      <c r="L20" s="15">
        <v>5.5</v>
      </c>
      <c r="M20" s="15">
        <v>5</v>
      </c>
      <c r="N20" s="15">
        <v>5.5</v>
      </c>
      <c r="O20" s="15">
        <v>6</v>
      </c>
      <c r="P20" s="15">
        <v>6</v>
      </c>
      <c r="Q20" s="15">
        <v>5</v>
      </c>
      <c r="R20" s="15">
        <v>5</v>
      </c>
      <c r="S20" s="15">
        <v>6</v>
      </c>
      <c r="T20" s="72">
        <f t="shared" si="0"/>
        <v>89</v>
      </c>
      <c r="U20" s="73">
        <f t="shared" si="1"/>
        <v>5.5625</v>
      </c>
      <c r="V20" s="74"/>
      <c r="W20" s="72">
        <f>SUM('Nilai Tahriri'!AJ18,'Nilai Syafahi'!T20)</f>
        <v>262</v>
      </c>
      <c r="X20" s="72">
        <f>AVERAGE(D20:S20,'Nilai Tahriri'!D18:AI18)</f>
        <v>5.822222222222222</v>
      </c>
      <c r="Y20" s="75">
        <f t="array" aca="1" ref="Y20" ca="1">SUM(IF(W20&lt;OFFSET($W$4,0,0,COUNT(W:W),1),1/COUNTIF(OFFSET($W$4,0,0,COUNT(W:W),1),OFFSET($W$4,0,0,COUNT(W:W),1))))+1</f>
        <v>9</v>
      </c>
      <c r="Z20" s="59" t="s">
        <v>280</v>
      </c>
    </row>
    <row r="21" spans="1:26" ht="15.5" x14ac:dyDescent="0.35">
      <c r="A21" s="8">
        <f>'Data Siswa'!A19</f>
        <v>18</v>
      </c>
      <c r="B21" s="101" t="str">
        <f>'Data Siswa'!B19</f>
        <v>MUHAMMAD RIZKI FAHREZA</v>
      </c>
      <c r="C21" s="8" t="str">
        <f>'Data Siswa'!C19</f>
        <v>0431</v>
      </c>
      <c r="D21" s="15">
        <v>5</v>
      </c>
      <c r="E21" s="15">
        <v>4.5</v>
      </c>
      <c r="F21" s="15">
        <v>5</v>
      </c>
      <c r="G21" s="15">
        <v>5</v>
      </c>
      <c r="H21" s="15">
        <v>5</v>
      </c>
      <c r="I21" s="15">
        <v>4.5</v>
      </c>
      <c r="J21" s="15">
        <v>4</v>
      </c>
      <c r="K21" s="15">
        <v>4</v>
      </c>
      <c r="L21" s="15">
        <v>4</v>
      </c>
      <c r="M21" s="15">
        <v>4</v>
      </c>
      <c r="N21" s="15">
        <v>4</v>
      </c>
      <c r="O21" s="15"/>
      <c r="P21" s="15"/>
      <c r="Q21" s="15"/>
      <c r="R21" s="15"/>
      <c r="S21" s="15"/>
      <c r="T21" s="72">
        <f t="shared" si="0"/>
        <v>49</v>
      </c>
      <c r="U21" s="73">
        <f t="shared" si="1"/>
        <v>4.4545454545454541</v>
      </c>
      <c r="V21" s="74"/>
      <c r="W21" s="72">
        <f>SUM('Nilai Tahriri'!AJ19,'Nilai Syafahi'!T21)</f>
        <v>219</v>
      </c>
      <c r="X21" s="72">
        <f>AVERAGE(D21:S21,'Nilai Tahriri'!D19:AI19)</f>
        <v>5.4749999999999996</v>
      </c>
      <c r="Y21" s="75">
        <f t="array" aca="1" ref="Y21" ca="1">SUM(IF(W21&lt;OFFSET($W$4,0,0,COUNT(W:W),1),1/COUNTIF(OFFSET($W$4,0,0,COUNT(W:W),1),OFFSET($W$4,0,0,COUNT(W:W),1))))+1</f>
        <v>20</v>
      </c>
      <c r="Z21" s="59" t="s">
        <v>280</v>
      </c>
    </row>
    <row r="22" spans="1:26" ht="15.5" x14ac:dyDescent="0.35">
      <c r="A22" s="8">
        <f>'Data Siswa'!A20</f>
        <v>19</v>
      </c>
      <c r="B22" s="101" t="str">
        <f>'Data Siswa'!B20</f>
        <v>MUHAMMAD WILDAN KAMIL</v>
      </c>
      <c r="C22" s="8" t="str">
        <f>'Data Siswa'!C20</f>
        <v>0432</v>
      </c>
      <c r="D22" s="15">
        <v>4</v>
      </c>
      <c r="E22" s="15">
        <v>4.5</v>
      </c>
      <c r="F22" s="15">
        <v>5</v>
      </c>
      <c r="G22" s="15">
        <v>4.5</v>
      </c>
      <c r="H22" s="15">
        <v>5</v>
      </c>
      <c r="I22" s="15">
        <v>4.5</v>
      </c>
      <c r="J22" s="15">
        <v>5</v>
      </c>
      <c r="K22" s="15">
        <v>5</v>
      </c>
      <c r="L22" s="15">
        <v>5</v>
      </c>
      <c r="M22" s="15">
        <v>4</v>
      </c>
      <c r="N22" s="15">
        <v>5</v>
      </c>
      <c r="O22" s="15">
        <v>5</v>
      </c>
      <c r="P22" s="15">
        <v>5</v>
      </c>
      <c r="Q22" s="15">
        <v>5.5</v>
      </c>
      <c r="R22" s="15">
        <v>5</v>
      </c>
      <c r="S22" s="15">
        <v>6</v>
      </c>
      <c r="T22" s="72">
        <f t="shared" si="0"/>
        <v>78</v>
      </c>
      <c r="U22" s="73">
        <f t="shared" si="1"/>
        <v>4.875</v>
      </c>
      <c r="V22" s="74"/>
      <c r="W22" s="72">
        <f>SUM('Nilai Tahriri'!AJ20,'Nilai Syafahi'!T22)</f>
        <v>251.5</v>
      </c>
      <c r="X22" s="72">
        <f>AVERAGE(D22:S22,'Nilai Tahriri'!D20:AI20)</f>
        <v>5.5888888888888886</v>
      </c>
      <c r="Y22" s="75">
        <f t="array" aca="1" ref="Y22" ca="1">SUM(IF(W22&lt;OFFSET($W$4,0,0,COUNT(W:W),1),1/COUNTIF(OFFSET($W$4,0,0,COUNT(W:W),1),OFFSET($W$4,0,0,COUNT(W:W),1))))+1</f>
        <v>15</v>
      </c>
      <c r="Z22" s="59" t="s">
        <v>280</v>
      </c>
    </row>
    <row r="23" spans="1:26" ht="15.5" x14ac:dyDescent="0.35">
      <c r="A23" s="8">
        <f>'Data Siswa'!A21</f>
        <v>20</v>
      </c>
      <c r="B23" s="101" t="str">
        <f>'Data Siswa'!B21</f>
        <v>PANDU TRI KHUSMADEWANTARA</v>
      </c>
      <c r="C23" s="8" t="str">
        <f>'Data Siswa'!C21</f>
        <v>0433</v>
      </c>
      <c r="D23" s="15">
        <v>5</v>
      </c>
      <c r="E23" s="15">
        <v>5</v>
      </c>
      <c r="F23" s="15">
        <v>5</v>
      </c>
      <c r="G23" s="15">
        <v>6</v>
      </c>
      <c r="H23" s="15">
        <v>6</v>
      </c>
      <c r="I23" s="15">
        <v>4.5</v>
      </c>
      <c r="J23" s="15">
        <v>4</v>
      </c>
      <c r="K23" s="15">
        <v>4</v>
      </c>
      <c r="L23" s="15">
        <v>4</v>
      </c>
      <c r="M23" s="15">
        <v>4</v>
      </c>
      <c r="N23" s="15">
        <v>4</v>
      </c>
      <c r="O23" s="15">
        <v>5</v>
      </c>
      <c r="P23" s="15">
        <v>5</v>
      </c>
      <c r="Q23" s="15">
        <v>5</v>
      </c>
      <c r="R23" s="15">
        <v>5</v>
      </c>
      <c r="S23" s="15">
        <v>5</v>
      </c>
      <c r="T23" s="72">
        <f t="shared" si="0"/>
        <v>76.5</v>
      </c>
      <c r="U23" s="73">
        <f t="shared" si="1"/>
        <v>4.78125</v>
      </c>
      <c r="V23" s="74"/>
      <c r="W23" s="72">
        <f>SUM('Nilai Tahriri'!AJ21,'Nilai Syafahi'!T23)</f>
        <v>245.5</v>
      </c>
      <c r="X23" s="72">
        <f>AVERAGE(D23:S23,'Nilai Tahriri'!D21:AI21)</f>
        <v>5.4555555555555557</v>
      </c>
      <c r="Y23" s="75">
        <f t="array" aca="1" ref="Y23" ca="1">SUM(IF(W23&lt;OFFSET($W$4,0,0,COUNT(W:W),1),1/COUNTIF(OFFSET($W$4,0,0,COUNT(W:W),1),OFFSET($W$4,0,0,COUNT(W:W),1))))+1</f>
        <v>17</v>
      </c>
      <c r="Z23" s="59" t="s">
        <v>280</v>
      </c>
    </row>
    <row r="24" spans="1:26" ht="15.5" x14ac:dyDescent="0.35">
      <c r="A24" s="8">
        <f>'Data Siswa'!A22</f>
        <v>21</v>
      </c>
      <c r="B24" s="101" t="str">
        <f>'Data Siswa'!B22</f>
        <v>SAMSUL MA'ARIF</v>
      </c>
      <c r="C24" s="8" t="str">
        <f>'Data Siswa'!C22</f>
        <v>0434</v>
      </c>
      <c r="D24" s="15">
        <v>4.5</v>
      </c>
      <c r="E24" s="15">
        <v>4</v>
      </c>
      <c r="F24" s="15">
        <v>4.5</v>
      </c>
      <c r="G24" s="15">
        <v>5</v>
      </c>
      <c r="H24" s="15">
        <v>5.5</v>
      </c>
      <c r="I24" s="15">
        <v>5</v>
      </c>
      <c r="J24" s="15">
        <v>4</v>
      </c>
      <c r="K24" s="15">
        <v>4</v>
      </c>
      <c r="L24" s="15">
        <v>4</v>
      </c>
      <c r="M24" s="15">
        <v>4</v>
      </c>
      <c r="N24" s="15">
        <v>4</v>
      </c>
      <c r="O24" s="15">
        <v>5.5</v>
      </c>
      <c r="P24" s="15">
        <v>5.5</v>
      </c>
      <c r="Q24" s="15">
        <v>5</v>
      </c>
      <c r="R24" s="15">
        <v>5</v>
      </c>
      <c r="S24" s="15">
        <v>5</v>
      </c>
      <c r="T24" s="72">
        <f t="shared" si="0"/>
        <v>74.5</v>
      </c>
      <c r="U24" s="73">
        <f t="shared" si="1"/>
        <v>4.65625</v>
      </c>
      <c r="V24" s="74"/>
      <c r="W24" s="72">
        <f>SUM('Nilai Tahriri'!AJ22,'Nilai Syafahi'!T24)</f>
        <v>251.5</v>
      </c>
      <c r="X24" s="72">
        <f>AVERAGE(D24:S24,'Nilai Tahriri'!D22:AI22)</f>
        <v>5.5888888888888886</v>
      </c>
      <c r="Y24" s="75">
        <f t="array" aca="1" ref="Y24" ca="1">SUM(IF(W24&lt;OFFSET($W$4,0,0,COUNT(W:W),1),1/COUNTIF(OFFSET($W$4,0,0,COUNT(W:W),1),OFFSET($W$4,0,0,COUNT(W:W),1))))+1</f>
        <v>15</v>
      </c>
      <c r="Z24" s="59" t="s">
        <v>280</v>
      </c>
    </row>
    <row r="25" spans="1:26" ht="15.5" x14ac:dyDescent="0.35">
      <c r="A25" s="8">
        <f>'Data Siswa'!A23</f>
        <v>22</v>
      </c>
      <c r="B25" s="101" t="str">
        <f>'Data Siswa'!B23</f>
        <v>SYAGHGHAF HAJID ABYAN</v>
      </c>
      <c r="C25" s="8" t="str">
        <f>'Data Siswa'!C23</f>
        <v>0435</v>
      </c>
      <c r="D25" s="15">
        <v>5</v>
      </c>
      <c r="E25" s="15">
        <v>5</v>
      </c>
      <c r="F25" s="15">
        <v>5</v>
      </c>
      <c r="G25" s="15">
        <v>6</v>
      </c>
      <c r="H25" s="15">
        <v>6</v>
      </c>
      <c r="I25" s="15">
        <v>4.5</v>
      </c>
      <c r="J25" s="15">
        <v>4.5</v>
      </c>
      <c r="K25" s="15">
        <v>4.5</v>
      </c>
      <c r="L25" s="15">
        <v>4.5</v>
      </c>
      <c r="M25" s="15">
        <v>4.5</v>
      </c>
      <c r="N25" s="15">
        <v>4.5</v>
      </c>
      <c r="O25" s="15"/>
      <c r="P25" s="15"/>
      <c r="Q25" s="15"/>
      <c r="R25" s="15"/>
      <c r="S25" s="15"/>
      <c r="T25" s="72">
        <f t="shared" si="0"/>
        <v>54</v>
      </c>
      <c r="U25" s="73">
        <f t="shared" si="1"/>
        <v>4.9090909090909092</v>
      </c>
      <c r="V25" s="74"/>
      <c r="W25" s="72">
        <f>SUM('Nilai Tahriri'!AJ23,'Nilai Syafahi'!T25)</f>
        <v>236</v>
      </c>
      <c r="X25" s="72">
        <f>AVERAGE(D25:S25,'Nilai Tahriri'!D23:AI23)</f>
        <v>5.9</v>
      </c>
      <c r="Y25" s="75">
        <f t="array" aca="1" ref="Y25" ca="1">SUM(IF(W25&lt;OFFSET($W$4,0,0,COUNT(W:W),1),1/COUNTIF(OFFSET($W$4,0,0,COUNT(W:W),1),OFFSET($W$4,0,0,COUNT(W:W),1))))+1</f>
        <v>19</v>
      </c>
      <c r="Z25" s="59" t="s">
        <v>280</v>
      </c>
    </row>
    <row r="26" spans="1:26" ht="15.5" x14ac:dyDescent="0.35">
      <c r="A26" s="8">
        <f>'Data Siswa'!A24</f>
        <v>23</v>
      </c>
      <c r="B26" s="101" t="str">
        <f>'Data Siswa'!B24</f>
        <v>WILDAN AGNA ABABIL</v>
      </c>
      <c r="C26" s="8" t="str">
        <f>'Data Siswa'!C24</f>
        <v>0436</v>
      </c>
      <c r="D26" s="15">
        <v>6</v>
      </c>
      <c r="E26" s="15">
        <v>5</v>
      </c>
      <c r="F26" s="15">
        <v>4.5</v>
      </c>
      <c r="G26" s="15">
        <v>7</v>
      </c>
      <c r="H26" s="15">
        <v>6</v>
      </c>
      <c r="I26" s="15">
        <v>5</v>
      </c>
      <c r="J26" s="15">
        <v>6</v>
      </c>
      <c r="K26" s="15">
        <v>6</v>
      </c>
      <c r="L26" s="15">
        <v>6</v>
      </c>
      <c r="M26" s="15">
        <v>6</v>
      </c>
      <c r="N26" s="15">
        <v>6</v>
      </c>
      <c r="O26" s="15">
        <v>6</v>
      </c>
      <c r="P26" s="15">
        <v>6</v>
      </c>
      <c r="Q26" s="15">
        <v>5</v>
      </c>
      <c r="R26" s="15">
        <v>6</v>
      </c>
      <c r="S26" s="15">
        <v>6</v>
      </c>
      <c r="T26" s="72">
        <f t="shared" si="0"/>
        <v>92.5</v>
      </c>
      <c r="U26" s="73">
        <f t="shared" si="1"/>
        <v>5.78125</v>
      </c>
      <c r="V26" s="74"/>
      <c r="W26" s="72">
        <f>SUM('Nilai Tahriri'!AJ24,'Nilai Syafahi'!T26)</f>
        <v>301.5</v>
      </c>
      <c r="X26" s="72">
        <f>AVERAGE(D26:S26,'Nilai Tahriri'!D24:AI24)</f>
        <v>6.7</v>
      </c>
      <c r="Y26" s="75">
        <f t="array" aca="1" ref="Y26" ca="1">SUM(IF(W26&lt;OFFSET($W$4,0,0,COUNT(W:W),1),1/COUNTIF(OFFSET($W$4,0,0,COUNT(W:W),1),OFFSET($W$4,0,0,COUNT(W:W),1))))+1</f>
        <v>1</v>
      </c>
      <c r="Z26" s="59" t="s">
        <v>280</v>
      </c>
    </row>
    <row r="27" spans="1:26" ht="15.5" x14ac:dyDescent="0.35">
      <c r="A27" s="8">
        <f>'Data Siswa'!A25</f>
        <v>24</v>
      </c>
      <c r="B27" s="101" t="str">
        <f>'Data Siswa'!B25</f>
        <v>ZEN KEMAL AISY</v>
      </c>
      <c r="C27" s="8" t="str">
        <f>'Data Siswa'!C25</f>
        <v>0437</v>
      </c>
      <c r="D27" s="15">
        <v>5.5</v>
      </c>
      <c r="E27" s="15">
        <v>5</v>
      </c>
      <c r="F27" s="15">
        <v>4.5</v>
      </c>
      <c r="G27" s="15">
        <v>6</v>
      </c>
      <c r="H27" s="15">
        <v>5</v>
      </c>
      <c r="I27" s="15">
        <v>4.5</v>
      </c>
      <c r="J27" s="15">
        <v>4</v>
      </c>
      <c r="K27" s="15">
        <v>4</v>
      </c>
      <c r="L27" s="15">
        <v>4</v>
      </c>
      <c r="M27" s="15">
        <v>4</v>
      </c>
      <c r="N27" s="15">
        <v>4</v>
      </c>
      <c r="O27" s="15">
        <v>5</v>
      </c>
      <c r="P27" s="15">
        <v>5</v>
      </c>
      <c r="Q27" s="15">
        <v>5</v>
      </c>
      <c r="R27" s="15">
        <v>6</v>
      </c>
      <c r="S27" s="15">
        <v>6</v>
      </c>
      <c r="T27" s="72">
        <f t="shared" si="0"/>
        <v>77.5</v>
      </c>
      <c r="U27" s="73">
        <f t="shared" si="1"/>
        <v>4.84375</v>
      </c>
      <c r="V27" s="74"/>
      <c r="W27" s="72">
        <f>SUM('Nilai Tahriri'!AJ25,'Nilai Syafahi'!T27)</f>
        <v>258</v>
      </c>
      <c r="X27" s="72">
        <f>AVERAGE(D27:S27,'Nilai Tahriri'!D25:AI25)</f>
        <v>5.7333333333333334</v>
      </c>
      <c r="Y27" s="75">
        <f t="array" aca="1" ref="Y27" ca="1">SUM(IF(W27&lt;OFFSET($W$4,0,0,COUNT(W:W),1),1/COUNTIF(OFFSET($W$4,0,0,COUNT(W:W),1),OFFSET($W$4,0,0,COUNT(W:W),1))))+1</f>
        <v>10</v>
      </c>
      <c r="Z27" s="59" t="s">
        <v>280</v>
      </c>
    </row>
    <row r="28" spans="1:26" ht="15.5" x14ac:dyDescent="0.35">
      <c r="A28" s="8">
        <f>'Data Siswa'!A26</f>
        <v>25</v>
      </c>
      <c r="B28" s="101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2">
        <f t="shared" si="0"/>
        <v>0</v>
      </c>
      <c r="U28" s="73" t="e">
        <f t="shared" si="1"/>
        <v>#DIV/0!</v>
      </c>
      <c r="V28" s="74"/>
      <c r="W28" s="72">
        <f>SUM('Nilai Tahriri'!AJ26,'Nilai Syafahi'!T28)</f>
        <v>0</v>
      </c>
      <c r="X28" s="72" t="e">
        <f>AVERAGE(D28:S28,'Nilai Tahriri'!D26:AI26)</f>
        <v>#DIV/0!</v>
      </c>
      <c r="Y28" s="75">
        <f t="array" aca="1" ref="Y28" ca="1">SUM(IF(W28&lt;OFFSET($W$4,0,0,COUNT(W:W),1),1/COUNTIF(OFFSET($W$4,0,0,COUNT(W:W),1),OFFSET($W$4,0,0,COUNT(W:W),1))))+1</f>
        <v>22</v>
      </c>
      <c r="Z28" s="59" t="s">
        <v>280</v>
      </c>
    </row>
    <row r="29" spans="1:26" ht="15.5" x14ac:dyDescent="0.35">
      <c r="A29" s="8">
        <f>'Data Siswa'!A27</f>
        <v>26</v>
      </c>
      <c r="B29" s="101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2">
        <f t="shared" si="0"/>
        <v>0</v>
      </c>
      <c r="U29" s="73" t="e">
        <f t="shared" si="1"/>
        <v>#DIV/0!</v>
      </c>
      <c r="V29" s="74"/>
      <c r="W29" s="72">
        <f>SUM('Nilai Tahriri'!AJ27,'Nilai Syafahi'!T29)</f>
        <v>0</v>
      </c>
      <c r="X29" s="72" t="e">
        <f>AVERAGE(D29:S29,'Nilai Tahriri'!D27:AI27)</f>
        <v>#DIV/0!</v>
      </c>
      <c r="Y29" s="75">
        <f t="array" aca="1" ref="Y29" ca="1">SUM(IF(W29&lt;OFFSET($W$4,0,0,COUNT(W:W),1),1/COUNTIF(OFFSET($W$4,0,0,COUNT(W:W),1),OFFSET($W$4,0,0,COUNT(W:W),1))))+1</f>
        <v>22</v>
      </c>
      <c r="Z29" s="59" t="s">
        <v>280</v>
      </c>
    </row>
    <row r="30" spans="1:26" ht="15.5" x14ac:dyDescent="0.35">
      <c r="A30" s="8">
        <f>'Data Siswa'!A28</f>
        <v>27</v>
      </c>
      <c r="B30" s="101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2">
        <f t="shared" si="0"/>
        <v>0</v>
      </c>
      <c r="U30" s="73" t="e">
        <f t="shared" si="1"/>
        <v>#DIV/0!</v>
      </c>
      <c r="V30" s="74"/>
      <c r="W30" s="72">
        <f>SUM('Nilai Tahriri'!AJ28,'Nilai Syafahi'!T30)</f>
        <v>0</v>
      </c>
      <c r="X30" s="72" t="e">
        <f>AVERAGE(D30:S30,'Nilai Tahriri'!D28:AI28)</f>
        <v>#DIV/0!</v>
      </c>
      <c r="Y30" s="75">
        <f t="array" aca="1" ref="Y30" ca="1">SUM(IF(W30&lt;OFFSET($W$4,0,0,COUNT(W:W),1),1/COUNTIF(OFFSET($W$4,0,0,COUNT(W:W),1),OFFSET($W$4,0,0,COUNT(W:W),1))))+1</f>
        <v>22</v>
      </c>
      <c r="Z30" s="59" t="s">
        <v>280</v>
      </c>
    </row>
    <row r="31" spans="1:26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2">
        <f t="shared" si="0"/>
        <v>0</v>
      </c>
      <c r="U31" s="73" t="e">
        <f t="shared" si="1"/>
        <v>#DIV/0!</v>
      </c>
      <c r="V31" s="74"/>
      <c r="W31" s="72">
        <f>SUM('Nilai Tahriri'!AJ29,'Nilai Syafahi'!T31)</f>
        <v>0</v>
      </c>
      <c r="X31" s="72" t="e">
        <f>AVERAGE(D31:S31,'Nilai Tahriri'!D29:AI29)</f>
        <v>#DIV/0!</v>
      </c>
      <c r="Y31" s="75">
        <f t="array" aca="1" ref="Y31" ca="1">SUM(IF(W31&lt;OFFSET($W$4,0,0,COUNT(W:W),1),1/COUNTIF(OFFSET($W$4,0,0,COUNT(W:W),1),OFFSET($W$4,0,0,COUNT(W:W),1))))+1</f>
        <v>22</v>
      </c>
      <c r="Z31" s="59" t="s">
        <v>280</v>
      </c>
    </row>
    <row r="32" spans="1:26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2">
        <f t="shared" si="0"/>
        <v>0</v>
      </c>
      <c r="U32" s="73" t="e">
        <f t="shared" si="1"/>
        <v>#DIV/0!</v>
      </c>
      <c r="V32" s="74"/>
      <c r="W32" s="72">
        <f>SUM('Nilai Tahriri'!AJ30,'Nilai Syafahi'!T32)</f>
        <v>0</v>
      </c>
      <c r="X32" s="72" t="e">
        <f>AVERAGE(D32:S32,'Nilai Tahriri'!D30:AI30)</f>
        <v>#DIV/0!</v>
      </c>
      <c r="Y32" s="75">
        <f t="array" aca="1" ref="Y32" ca="1">SUM(IF(W32&lt;OFFSET($W$4,0,0,COUNT(W:W),1),1/COUNTIF(OFFSET($W$4,0,0,COUNT(W:W),1),OFFSET($W$4,0,0,COUNT(W:W),1))))+1</f>
        <v>22</v>
      </c>
      <c r="Z32" s="59" t="s">
        <v>280</v>
      </c>
    </row>
    <row r="33" spans="1:26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2">
        <f t="shared" si="0"/>
        <v>0</v>
      </c>
      <c r="U33" s="73" t="e">
        <f t="shared" si="1"/>
        <v>#DIV/0!</v>
      </c>
      <c r="V33" s="74"/>
      <c r="W33" s="72">
        <f>SUM('Nilai Tahriri'!AJ31,'Nilai Syafahi'!T33)</f>
        <v>0</v>
      </c>
      <c r="X33" s="72" t="e">
        <f>AVERAGE(D33:S33,'Nilai Tahriri'!D31:AI31)</f>
        <v>#DIV/0!</v>
      </c>
      <c r="Y33" s="75">
        <f t="array" aca="1" ref="Y33" ca="1">SUM(IF(W33&lt;OFFSET($W$4,0,0,COUNT(W:W),1),1/COUNTIF(OFFSET($W$4,0,0,COUNT(W:W),1),OFFSET($W$4,0,0,COUNT(W:W),1))))+1</f>
        <v>22</v>
      </c>
      <c r="Z33" s="59" t="s">
        <v>280</v>
      </c>
    </row>
    <row r="34" spans="1:26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2">
        <f t="shared" si="0"/>
        <v>0</v>
      </c>
      <c r="U34" s="73" t="e">
        <f t="shared" si="1"/>
        <v>#DIV/0!</v>
      </c>
      <c r="V34" s="74"/>
      <c r="W34" s="72">
        <f>SUM('Nilai Tahriri'!AJ32,'Nilai Syafahi'!T34)</f>
        <v>0</v>
      </c>
      <c r="X34" s="72" t="e">
        <f>AVERAGE(D34:S34,'Nilai Tahriri'!D32:AI32)</f>
        <v>#DIV/0!</v>
      </c>
      <c r="Y34" s="75">
        <f t="array" aca="1" ref="Y34" ca="1">SUM(IF(W34&lt;OFFSET($W$4,0,0,COUNT(W:W),1),1/COUNTIF(OFFSET($W$4,0,0,COUNT(W:W),1),OFFSET($W$4,0,0,COUNT(W:W),1))))+1</f>
        <v>22</v>
      </c>
      <c r="Z34" s="59" t="s">
        <v>280</v>
      </c>
    </row>
    <row r="35" spans="1:26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2">
        <f t="shared" si="0"/>
        <v>0</v>
      </c>
      <c r="U35" s="73" t="e">
        <f t="shared" si="1"/>
        <v>#DIV/0!</v>
      </c>
      <c r="V35" s="74"/>
      <c r="W35" s="72">
        <f>SUM('Nilai Tahriri'!AJ33,'Nilai Syafahi'!T35)</f>
        <v>0</v>
      </c>
      <c r="X35" s="72" t="e">
        <f>AVERAGE(D35:S35,'Nilai Tahriri'!D33:AI33)</f>
        <v>#DIV/0!</v>
      </c>
      <c r="Y35" s="75">
        <f t="array" aca="1" ref="Y35" ca="1">SUM(IF(W35&lt;OFFSET($W$4,0,0,COUNT(W:W),1),1/COUNTIF(OFFSET($W$4,0,0,COUNT(W:W),1),OFFSET($W$4,0,0,COUNT(W:W),1))))+1</f>
        <v>22</v>
      </c>
      <c r="Z35" s="59" t="s">
        <v>280</v>
      </c>
    </row>
    <row r="36" spans="1:26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2">
        <f t="shared" si="0"/>
        <v>0</v>
      </c>
      <c r="U36" s="73" t="e">
        <f t="shared" si="1"/>
        <v>#DIV/0!</v>
      </c>
      <c r="V36" s="74"/>
      <c r="W36" s="72">
        <f>SUM('Nilai Tahriri'!AJ34,'Nilai Syafahi'!T36)</f>
        <v>0</v>
      </c>
      <c r="X36" s="72" t="e">
        <f>AVERAGE(D36:S36,'Nilai Tahriri'!D34:AI34)</f>
        <v>#DIV/0!</v>
      </c>
      <c r="Y36" s="75">
        <f t="array" aca="1" ref="Y36" ca="1">SUM(IF(W36&lt;OFFSET($W$4,0,0,COUNT(W:W),1),1/COUNTIF(OFFSET($W$4,0,0,COUNT(W:W),1),OFFSET($W$4,0,0,COUNT(W:W),1))))+1</f>
        <v>22</v>
      </c>
      <c r="Z36" s="59" t="s">
        <v>280</v>
      </c>
    </row>
    <row r="37" spans="1:26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2">
        <f t="shared" si="0"/>
        <v>0</v>
      </c>
      <c r="U37" s="73" t="e">
        <f t="shared" si="1"/>
        <v>#DIV/0!</v>
      </c>
      <c r="V37" s="74"/>
      <c r="W37" s="72">
        <f>SUM('Nilai Tahriri'!AJ35,'Nilai Syafahi'!T37)</f>
        <v>0</v>
      </c>
      <c r="X37" s="72" t="e">
        <f>AVERAGE(D37:S37,'Nilai Tahriri'!D35:AI35)</f>
        <v>#DIV/0!</v>
      </c>
      <c r="Y37" s="75">
        <f t="array" aca="1" ref="Y37" ca="1">SUM(IF(W37&lt;OFFSET($W$4,0,0,COUNT(W:W),1),1/COUNTIF(OFFSET($W$4,0,0,COUNT(W:W),1),OFFSET($W$4,0,0,COUNT(W:W),1))))+1</f>
        <v>22</v>
      </c>
      <c r="Z37" s="59" t="s">
        <v>280</v>
      </c>
    </row>
    <row r="38" spans="1:26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2">
        <f t="shared" si="0"/>
        <v>0</v>
      </c>
      <c r="U38" s="73" t="e">
        <f t="shared" si="1"/>
        <v>#DIV/0!</v>
      </c>
      <c r="V38" s="74"/>
      <c r="W38" s="72">
        <f>SUM('Nilai Tahriri'!AJ36,'Nilai Syafahi'!T38)</f>
        <v>0</v>
      </c>
      <c r="X38" s="72" t="e">
        <f>AVERAGE(D38:S38,'Nilai Tahriri'!D36:AI36)</f>
        <v>#DIV/0!</v>
      </c>
      <c r="Y38" s="75">
        <f t="array" aca="1" ref="Y38" ca="1">SUM(IF(W38&lt;OFFSET($W$4,0,0,COUNT(W:W),1),1/COUNTIF(OFFSET($W$4,0,0,COUNT(W:W),1),OFFSET($W$4,0,0,COUNT(W:W),1))))+1</f>
        <v>22</v>
      </c>
      <c r="Z38" s="59" t="s">
        <v>280</v>
      </c>
    </row>
    <row r="39" spans="1:26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2">
        <f t="shared" si="0"/>
        <v>0</v>
      </c>
      <c r="U39" s="73" t="e">
        <f t="shared" si="1"/>
        <v>#DIV/0!</v>
      </c>
      <c r="V39" s="74"/>
      <c r="W39" s="72">
        <f>SUM('Nilai Tahriri'!AJ37,'Nilai Syafahi'!T39)</f>
        <v>0</v>
      </c>
      <c r="X39" s="72" t="e">
        <f>AVERAGE(D39:S39,'Nilai Tahriri'!D37:AI37)</f>
        <v>#DIV/0!</v>
      </c>
      <c r="Y39" s="75">
        <f t="array" aca="1" ref="Y39" ca="1">SUM(IF(W39&lt;OFFSET($W$4,0,0,COUNT(W:W),1),1/COUNTIF(OFFSET($W$4,0,0,COUNT(W:W),1),OFFSET($W$4,0,0,COUNT(W:W),1))))+1</f>
        <v>22</v>
      </c>
      <c r="Z39" s="59" t="s">
        <v>280</v>
      </c>
    </row>
    <row r="40" spans="1:26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2">
        <f t="shared" si="0"/>
        <v>0</v>
      </c>
      <c r="U40" s="73" t="e">
        <f t="shared" si="1"/>
        <v>#DIV/0!</v>
      </c>
      <c r="V40" s="74"/>
      <c r="W40" s="72">
        <f>SUM('Nilai Tahriri'!AJ38,'Nilai Syafahi'!T40)</f>
        <v>0</v>
      </c>
      <c r="X40" s="72" t="e">
        <f>AVERAGE(D40:S40,'Nilai Tahriri'!D38:AI38)</f>
        <v>#DIV/0!</v>
      </c>
      <c r="Y40" s="75">
        <f t="array" aca="1" ref="Y40" ca="1">SUM(IF(W40&lt;OFFSET($W$4,0,0,COUNT(W:W),1),1/COUNTIF(OFFSET($W$4,0,0,COUNT(W:W),1),OFFSET($W$4,0,0,COUNT(W:W),1))))+1</f>
        <v>22</v>
      </c>
      <c r="Z40" s="59" t="s">
        <v>280</v>
      </c>
    </row>
    <row r="41" spans="1:26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2">
        <f t="shared" si="0"/>
        <v>0</v>
      </c>
      <c r="U41" s="73" t="e">
        <f t="shared" si="1"/>
        <v>#DIV/0!</v>
      </c>
      <c r="V41" s="74"/>
      <c r="W41" s="72">
        <f>SUM('Nilai Tahriri'!AJ39,'Nilai Syafahi'!T41)</f>
        <v>0</v>
      </c>
      <c r="X41" s="72" t="e">
        <f>AVERAGE(D41:S41,'Nilai Tahriri'!D39:AI39)</f>
        <v>#DIV/0!</v>
      </c>
      <c r="Y41" s="75">
        <f t="array" aca="1" ref="Y41" ca="1">SUM(IF(W41&lt;OFFSET($W$4,0,0,COUNT(W:W),1),1/COUNTIF(OFFSET($W$4,0,0,COUNT(W:W),1),OFFSET($W$4,0,0,COUNT(W:W),1))))+1</f>
        <v>22</v>
      </c>
      <c r="Z41" s="59" t="s">
        <v>280</v>
      </c>
    </row>
    <row r="42" spans="1:26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2">
        <f t="shared" si="0"/>
        <v>0</v>
      </c>
      <c r="U42" s="73" t="e">
        <f t="shared" si="1"/>
        <v>#DIV/0!</v>
      </c>
      <c r="V42" s="74"/>
      <c r="W42" s="72">
        <f>SUM('Nilai Tahriri'!AJ40,'Nilai Syafahi'!T42)</f>
        <v>0</v>
      </c>
      <c r="X42" s="72" t="e">
        <f>AVERAGE(D42:S42,'Nilai Tahriri'!D40:AI40)</f>
        <v>#DIV/0!</v>
      </c>
      <c r="Y42" s="75">
        <f t="array" aca="1" ref="Y42" ca="1">SUM(IF(W42&lt;OFFSET($W$4,0,0,COUNT(W:W),1),1/COUNTIF(OFFSET($W$4,0,0,COUNT(W:W),1),OFFSET($W$4,0,0,COUNT(W:W),1))))+1</f>
        <v>22</v>
      </c>
      <c r="Z42" s="59" t="s">
        <v>280</v>
      </c>
    </row>
    <row r="43" spans="1:26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2">
        <f t="shared" si="0"/>
        <v>0</v>
      </c>
      <c r="U43" s="73" t="e">
        <f t="shared" si="1"/>
        <v>#DIV/0!</v>
      </c>
      <c r="V43" s="76"/>
      <c r="W43" s="72">
        <f>SUM('Nilai Tahriri'!AJ41,'Nilai Syafahi'!T43)</f>
        <v>0</v>
      </c>
      <c r="X43" s="72" t="e">
        <f>AVERAGE(D43:S43,'Nilai Tahriri'!D41:AI41)</f>
        <v>#DIV/0!</v>
      </c>
      <c r="Y43" s="75">
        <f t="array" aca="1" ref="Y43" ca="1">SUM(IF(W43&lt;OFFSET($W$4,0,0,COUNT(W:W),1),1/COUNTIF(OFFSET($W$4,0,0,COUNT(W:W),1),OFFSET($W$4,0,0,COUNT(W:W),1))))+1</f>
        <v>22</v>
      </c>
      <c r="Z43" s="59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H8" sqref="H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8"/>
    </row>
    <row r="2" spans="1:10" ht="14.5" customHeight="1" x14ac:dyDescent="0.35">
      <c r="A2" s="150" t="s">
        <v>76</v>
      </c>
      <c r="B2" s="148" t="s">
        <v>55</v>
      </c>
      <c r="C2" s="150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5" t="s">
        <v>178</v>
      </c>
    </row>
    <row r="3" spans="1:10" ht="53.15" customHeight="1" x14ac:dyDescent="0.35">
      <c r="A3" s="150"/>
      <c r="B3" s="148"/>
      <c r="C3" s="150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3" t="s">
        <v>45</v>
      </c>
    </row>
    <row r="4" spans="1:10" ht="15.5" x14ac:dyDescent="0.35">
      <c r="A4" s="8">
        <f>'Data Siswa'!A2</f>
        <v>1</v>
      </c>
      <c r="B4" s="101" t="str">
        <f>'Data Siswa'!B2</f>
        <v>ADAM BAKRI</v>
      </c>
      <c r="C4" s="8" t="str">
        <f>'Data Siswa'!C2</f>
        <v>0414</v>
      </c>
      <c r="D4" s="19">
        <v>8</v>
      </c>
      <c r="E4" s="19">
        <v>8</v>
      </c>
      <c r="F4" s="19">
        <v>8</v>
      </c>
      <c r="G4" s="19"/>
      <c r="H4" s="19"/>
      <c r="I4" s="19"/>
      <c r="J4" s="280" t="s">
        <v>289</v>
      </c>
    </row>
    <row r="5" spans="1:10" ht="15.5" x14ac:dyDescent="0.35">
      <c r="A5" s="8">
        <f>'Data Siswa'!A3</f>
        <v>2</v>
      </c>
      <c r="B5" s="102" t="str">
        <f>'Data Siswa'!B3</f>
        <v>AHMAD FAUZI</v>
      </c>
      <c r="C5" s="8" t="str">
        <f>'Data Siswa'!C3</f>
        <v>0415</v>
      </c>
      <c r="D5" s="19">
        <v>8</v>
      </c>
      <c r="E5" s="19">
        <v>8</v>
      </c>
      <c r="F5" s="19">
        <v>8</v>
      </c>
      <c r="G5" s="19"/>
      <c r="H5" s="19"/>
      <c r="I5" s="19"/>
      <c r="J5" s="99" t="s">
        <v>289</v>
      </c>
    </row>
    <row r="6" spans="1:10" ht="15.5" x14ac:dyDescent="0.35">
      <c r="A6" s="8">
        <f>'Data Siswa'!A4</f>
        <v>3</v>
      </c>
      <c r="B6" s="101" t="str">
        <f>'Data Siswa'!B4</f>
        <v>AHMAD NUR NGALIM</v>
      </c>
      <c r="C6" s="8" t="str">
        <f>'Data Siswa'!C4</f>
        <v>0416</v>
      </c>
      <c r="D6" s="19">
        <v>8</v>
      </c>
      <c r="E6" s="19">
        <v>8</v>
      </c>
      <c r="F6" s="19">
        <v>8</v>
      </c>
      <c r="G6" s="19"/>
      <c r="H6" s="19"/>
      <c r="I6" s="19"/>
      <c r="J6" s="99" t="s">
        <v>289</v>
      </c>
    </row>
    <row r="7" spans="1:10" ht="15.5" x14ac:dyDescent="0.35">
      <c r="A7" s="8">
        <f>'Data Siswa'!A5</f>
        <v>4</v>
      </c>
      <c r="B7" s="101" t="str">
        <f>'Data Siswa'!B5</f>
        <v>BAYU DIRGANTARA</v>
      </c>
      <c r="C7" s="8" t="str">
        <f>'Data Siswa'!C5</f>
        <v>0417</v>
      </c>
      <c r="D7" s="19">
        <v>8</v>
      </c>
      <c r="E7" s="19">
        <v>8</v>
      </c>
      <c r="F7" s="19">
        <v>8</v>
      </c>
      <c r="G7" s="19"/>
      <c r="H7" s="19"/>
      <c r="I7" s="19"/>
      <c r="J7" s="99" t="s">
        <v>289</v>
      </c>
    </row>
    <row r="8" spans="1:10" ht="15.5" x14ac:dyDescent="0.35">
      <c r="A8" s="8">
        <f>'Data Siswa'!A6</f>
        <v>5</v>
      </c>
      <c r="B8" s="101" t="str">
        <f>'Data Siswa'!B6</f>
        <v>DIAS PURNAMA YASA</v>
      </c>
      <c r="C8" s="8" t="str">
        <f>'Data Siswa'!C6</f>
        <v>0418</v>
      </c>
      <c r="D8" s="19">
        <v>7</v>
      </c>
      <c r="E8" s="19">
        <v>7</v>
      </c>
      <c r="F8" s="19">
        <v>7</v>
      </c>
      <c r="G8" s="19"/>
      <c r="H8" s="19"/>
      <c r="I8" s="19"/>
      <c r="J8" s="99" t="s">
        <v>289</v>
      </c>
    </row>
    <row r="9" spans="1:10" ht="15.5" x14ac:dyDescent="0.35">
      <c r="A9" s="8">
        <f>'Data Siswa'!A7</f>
        <v>6</v>
      </c>
      <c r="B9" s="101" t="str">
        <f>'Data Siswa'!B7</f>
        <v>FATAHILLAH DANIAL</v>
      </c>
      <c r="C9" s="8" t="str">
        <f>'Data Siswa'!C7</f>
        <v>0419</v>
      </c>
      <c r="D9" s="19">
        <v>8</v>
      </c>
      <c r="E9" s="19">
        <v>8</v>
      </c>
      <c r="F9" s="19">
        <v>8</v>
      </c>
      <c r="G9" s="19"/>
      <c r="H9" s="19"/>
      <c r="I9" s="19"/>
      <c r="J9" s="99" t="s">
        <v>289</v>
      </c>
    </row>
    <row r="10" spans="1:10" ht="15.5" x14ac:dyDescent="0.35">
      <c r="A10" s="8">
        <f>'Data Siswa'!A8</f>
        <v>7</v>
      </c>
      <c r="B10" s="101" t="str">
        <f>'Data Siswa'!B8</f>
        <v>GIBRAN PRADANA</v>
      </c>
      <c r="C10" s="8" t="str">
        <f>'Data Siswa'!C8</f>
        <v>0420</v>
      </c>
      <c r="D10" s="19">
        <v>8</v>
      </c>
      <c r="E10" s="19">
        <v>8</v>
      </c>
      <c r="F10" s="19">
        <v>8</v>
      </c>
      <c r="G10" s="19"/>
      <c r="H10" s="19"/>
      <c r="I10" s="19"/>
      <c r="J10" s="99" t="s">
        <v>289</v>
      </c>
    </row>
    <row r="11" spans="1:10" ht="15.5" x14ac:dyDescent="0.35">
      <c r="A11" s="8">
        <f>'Data Siswa'!A9</f>
        <v>8</v>
      </c>
      <c r="B11" s="101" t="str">
        <f>'Data Siswa'!B9</f>
        <v>GILANG PAHRI AKBAR</v>
      </c>
      <c r="C11" s="8" t="str">
        <f>'Data Siswa'!C9</f>
        <v>0421</v>
      </c>
      <c r="D11" s="19">
        <v>8</v>
      </c>
      <c r="E11" s="19">
        <v>8</v>
      </c>
      <c r="F11" s="19">
        <v>8</v>
      </c>
      <c r="G11" s="19"/>
      <c r="H11" s="19"/>
      <c r="I11" s="19"/>
      <c r="J11" s="99" t="s">
        <v>289</v>
      </c>
    </row>
    <row r="12" spans="1:10" ht="15.5" x14ac:dyDescent="0.35">
      <c r="A12" s="8">
        <f>'Data Siswa'!A10</f>
        <v>9</v>
      </c>
      <c r="B12" s="101" t="str">
        <f>'Data Siswa'!B10</f>
        <v>ILHAM HABIBIE</v>
      </c>
      <c r="C12" s="8" t="str">
        <f>'Data Siswa'!C10</f>
        <v>0422</v>
      </c>
      <c r="D12" s="19">
        <v>8</v>
      </c>
      <c r="E12" s="19">
        <v>8</v>
      </c>
      <c r="F12" s="19">
        <v>8</v>
      </c>
      <c r="G12" s="19"/>
      <c r="H12" s="19"/>
      <c r="I12" s="19"/>
      <c r="J12" s="99" t="s">
        <v>289</v>
      </c>
    </row>
    <row r="13" spans="1:10" ht="15.5" x14ac:dyDescent="0.35">
      <c r="A13" s="8">
        <f>'Data Siswa'!A11</f>
        <v>10</v>
      </c>
      <c r="B13" s="101" t="str">
        <f>'Data Siswa'!B11</f>
        <v>MUHAMAD MARIO</v>
      </c>
      <c r="C13" s="8" t="str">
        <f>'Data Siswa'!C11</f>
        <v>0423</v>
      </c>
      <c r="D13" s="19">
        <v>8</v>
      </c>
      <c r="E13" s="19">
        <v>8</v>
      </c>
      <c r="F13" s="19">
        <v>8</v>
      </c>
      <c r="G13" s="19"/>
      <c r="H13" s="19"/>
      <c r="I13" s="19"/>
      <c r="J13" s="99" t="s">
        <v>289</v>
      </c>
    </row>
    <row r="14" spans="1:10" ht="15.5" x14ac:dyDescent="0.35">
      <c r="A14" s="8">
        <f>'Data Siswa'!A12</f>
        <v>11</v>
      </c>
      <c r="B14" s="101" t="str">
        <f>'Data Siswa'!B12</f>
        <v>MUHAMMAD ARIEF RAHMAN</v>
      </c>
      <c r="C14" s="8" t="str">
        <f>'Data Siswa'!C12</f>
        <v>0424</v>
      </c>
      <c r="D14" s="19">
        <v>8</v>
      </c>
      <c r="E14" s="19">
        <v>8</v>
      </c>
      <c r="F14" s="19">
        <v>8</v>
      </c>
      <c r="G14" s="19"/>
      <c r="H14" s="19"/>
      <c r="I14" s="19"/>
      <c r="J14" s="99" t="s">
        <v>289</v>
      </c>
    </row>
    <row r="15" spans="1:10" ht="15.5" x14ac:dyDescent="0.35">
      <c r="A15" s="8">
        <f>'Data Siswa'!A13</f>
        <v>12</v>
      </c>
      <c r="B15" s="101" t="str">
        <f>'Data Siswa'!B13</f>
        <v>MUHAMMAD FADHILAH ALBARI</v>
      </c>
      <c r="C15" s="8" t="str">
        <f>'Data Siswa'!C13</f>
        <v>0425</v>
      </c>
      <c r="D15" s="19">
        <v>8</v>
      </c>
      <c r="E15" s="19">
        <v>8</v>
      </c>
      <c r="F15" s="19">
        <v>8</v>
      </c>
      <c r="G15" s="19"/>
      <c r="H15" s="19"/>
      <c r="I15" s="19"/>
      <c r="J15" s="99" t="s">
        <v>289</v>
      </c>
    </row>
    <row r="16" spans="1:10" ht="15.5" x14ac:dyDescent="0.35">
      <c r="A16" s="8">
        <f>'Data Siswa'!A14</f>
        <v>13</v>
      </c>
      <c r="B16" s="101" t="str">
        <f>'Data Siswa'!B14</f>
        <v>MUHAMMAD FAIZ FATHANNA'IM</v>
      </c>
      <c r="C16" s="8" t="str">
        <f>'Data Siswa'!C14</f>
        <v>0426</v>
      </c>
      <c r="D16" s="19">
        <v>8</v>
      </c>
      <c r="E16" s="19">
        <v>8</v>
      </c>
      <c r="F16" s="19">
        <v>8</v>
      </c>
      <c r="G16" s="19"/>
      <c r="H16" s="19"/>
      <c r="I16" s="19"/>
      <c r="J16" s="99" t="s">
        <v>289</v>
      </c>
    </row>
    <row r="17" spans="1:10" ht="15.5" x14ac:dyDescent="0.35">
      <c r="A17" s="8">
        <f>'Data Siswa'!A15</f>
        <v>14</v>
      </c>
      <c r="B17" s="101" t="str">
        <f>'Data Siswa'!B15</f>
        <v>MUHAMMAD FAKHRI</v>
      </c>
      <c r="C17" s="8" t="str">
        <f>'Data Siswa'!C15</f>
        <v>0427</v>
      </c>
      <c r="D17" s="19">
        <v>8</v>
      </c>
      <c r="E17" s="19">
        <v>8</v>
      </c>
      <c r="F17" s="19">
        <v>8</v>
      </c>
      <c r="G17" s="19"/>
      <c r="H17" s="19"/>
      <c r="I17" s="19"/>
      <c r="J17" s="99" t="s">
        <v>289</v>
      </c>
    </row>
    <row r="18" spans="1:10" ht="15.5" x14ac:dyDescent="0.35">
      <c r="A18" s="8">
        <f>'Data Siswa'!A16</f>
        <v>15</v>
      </c>
      <c r="B18" s="101" t="str">
        <f>'Data Siswa'!B16</f>
        <v>MUHAMMAD HAFIZ SIHABUDIN</v>
      </c>
      <c r="C18" s="8" t="str">
        <f>'Data Siswa'!C16</f>
        <v>0428</v>
      </c>
      <c r="D18" s="19">
        <v>8</v>
      </c>
      <c r="E18" s="19">
        <v>8</v>
      </c>
      <c r="F18" s="19">
        <v>8</v>
      </c>
      <c r="G18" s="19"/>
      <c r="H18" s="19"/>
      <c r="I18" s="19"/>
      <c r="J18" s="99" t="s">
        <v>289</v>
      </c>
    </row>
    <row r="19" spans="1:10" ht="15.5" x14ac:dyDescent="0.35">
      <c r="A19" s="8">
        <f>'Data Siswa'!A17</f>
        <v>16</v>
      </c>
      <c r="B19" s="101" t="str">
        <f>'Data Siswa'!B17</f>
        <v>MUHAMMAD MUMU NAJMUDIN</v>
      </c>
      <c r="C19" s="8" t="str">
        <f>'Data Siswa'!C17</f>
        <v>0429</v>
      </c>
      <c r="D19" s="19">
        <v>8</v>
      </c>
      <c r="E19" s="19">
        <v>8</v>
      </c>
      <c r="F19" s="19">
        <v>8</v>
      </c>
      <c r="G19" s="19"/>
      <c r="H19" s="19"/>
      <c r="I19" s="19"/>
      <c r="J19" s="99" t="s">
        <v>289</v>
      </c>
    </row>
    <row r="20" spans="1:10" ht="15.5" x14ac:dyDescent="0.35">
      <c r="A20" s="8">
        <f>'Data Siswa'!A18</f>
        <v>17</v>
      </c>
      <c r="B20" s="101" t="str">
        <f>'Data Siswa'!B18</f>
        <v>MUHAMMAD RHOMI FAHREZI</v>
      </c>
      <c r="C20" s="8" t="str">
        <f>'Data Siswa'!C18</f>
        <v>0430</v>
      </c>
      <c r="D20" s="19">
        <v>8</v>
      </c>
      <c r="E20" s="19">
        <v>8</v>
      </c>
      <c r="F20" s="19">
        <v>8</v>
      </c>
      <c r="G20" s="19"/>
      <c r="H20" s="19"/>
      <c r="I20" s="19"/>
      <c r="J20" s="99" t="s">
        <v>289</v>
      </c>
    </row>
    <row r="21" spans="1:10" ht="15.5" x14ac:dyDescent="0.35">
      <c r="A21" s="8">
        <f>'Data Siswa'!A19</f>
        <v>18</v>
      </c>
      <c r="B21" s="101" t="str">
        <f>'Data Siswa'!B19</f>
        <v>MUHAMMAD RIZKI FAHREZA</v>
      </c>
      <c r="C21" s="8" t="str">
        <f>'Data Siswa'!C19</f>
        <v>0431</v>
      </c>
      <c r="D21" s="19">
        <v>8</v>
      </c>
      <c r="E21" s="19">
        <v>8</v>
      </c>
      <c r="F21" s="19">
        <v>8</v>
      </c>
      <c r="G21" s="19"/>
      <c r="H21" s="19"/>
      <c r="I21" s="19"/>
      <c r="J21" s="99" t="s">
        <v>289</v>
      </c>
    </row>
    <row r="22" spans="1:10" ht="15.5" x14ac:dyDescent="0.35">
      <c r="A22" s="8">
        <f>'Data Siswa'!A20</f>
        <v>19</v>
      </c>
      <c r="B22" s="101" t="str">
        <f>'Data Siswa'!B20</f>
        <v>MUHAMMAD WILDAN KAMIL</v>
      </c>
      <c r="C22" s="8" t="str">
        <f>'Data Siswa'!C20</f>
        <v>0432</v>
      </c>
      <c r="D22" s="19">
        <v>8</v>
      </c>
      <c r="E22" s="19">
        <v>8</v>
      </c>
      <c r="F22" s="19">
        <v>8</v>
      </c>
      <c r="G22" s="19"/>
      <c r="H22" s="19"/>
      <c r="I22" s="19"/>
      <c r="J22" s="99" t="s">
        <v>289</v>
      </c>
    </row>
    <row r="23" spans="1:10" ht="15.5" x14ac:dyDescent="0.35">
      <c r="A23" s="8">
        <f>'Data Siswa'!A21</f>
        <v>20</v>
      </c>
      <c r="B23" s="101" t="str">
        <f>'Data Siswa'!B21</f>
        <v>PANDU TRI KHUSMADEWANTARA</v>
      </c>
      <c r="C23" s="8" t="str">
        <f>'Data Siswa'!C21</f>
        <v>0433</v>
      </c>
      <c r="D23" s="19">
        <v>8</v>
      </c>
      <c r="E23" s="19">
        <v>8</v>
      </c>
      <c r="F23" s="19">
        <v>8</v>
      </c>
      <c r="G23" s="19"/>
      <c r="H23" s="19"/>
      <c r="I23" s="19"/>
      <c r="J23" s="99" t="s">
        <v>289</v>
      </c>
    </row>
    <row r="24" spans="1:10" ht="15.5" x14ac:dyDescent="0.35">
      <c r="A24" s="8">
        <f>'Data Siswa'!A22</f>
        <v>21</v>
      </c>
      <c r="B24" s="101" t="str">
        <f>'Data Siswa'!B22</f>
        <v>SAMSUL MA'ARIF</v>
      </c>
      <c r="C24" s="8" t="str">
        <f>'Data Siswa'!C22</f>
        <v>0434</v>
      </c>
      <c r="D24" s="19">
        <v>8</v>
      </c>
      <c r="E24" s="19">
        <v>8</v>
      </c>
      <c r="F24" s="19">
        <v>8</v>
      </c>
      <c r="G24" s="19"/>
      <c r="H24" s="19"/>
      <c r="I24" s="19"/>
      <c r="J24" s="99" t="s">
        <v>289</v>
      </c>
    </row>
    <row r="25" spans="1:10" ht="15.5" x14ac:dyDescent="0.35">
      <c r="A25" s="8">
        <f>'Data Siswa'!A23</f>
        <v>22</v>
      </c>
      <c r="B25" s="101" t="str">
        <f>'Data Siswa'!B23</f>
        <v>SYAGHGHAF HAJID ABYAN</v>
      </c>
      <c r="C25" s="8" t="str">
        <f>'Data Siswa'!C23</f>
        <v>0435</v>
      </c>
      <c r="D25" s="19">
        <v>8</v>
      </c>
      <c r="E25" s="19">
        <v>8</v>
      </c>
      <c r="F25" s="19">
        <v>8</v>
      </c>
      <c r="G25" s="19"/>
      <c r="H25" s="19"/>
      <c r="I25" s="19"/>
      <c r="J25" s="99" t="s">
        <v>289</v>
      </c>
    </row>
    <row r="26" spans="1:10" ht="15.5" x14ac:dyDescent="0.35">
      <c r="A26" s="8">
        <f>'Data Siswa'!A24</f>
        <v>23</v>
      </c>
      <c r="B26" s="101" t="str">
        <f>'Data Siswa'!B24</f>
        <v>WILDAN AGNA ABABIL</v>
      </c>
      <c r="C26" s="8" t="str">
        <f>'Data Siswa'!C24</f>
        <v>0436</v>
      </c>
      <c r="D26" s="19">
        <v>8</v>
      </c>
      <c r="E26" s="19">
        <v>8</v>
      </c>
      <c r="F26" s="19">
        <v>8</v>
      </c>
      <c r="G26" s="19"/>
      <c r="H26" s="19"/>
      <c r="I26" s="19"/>
      <c r="J26" s="99" t="s">
        <v>289</v>
      </c>
    </row>
    <row r="27" spans="1:10" ht="15.5" x14ac:dyDescent="0.35">
      <c r="A27" s="8">
        <f>'Data Siswa'!A25</f>
        <v>24</v>
      </c>
      <c r="B27" s="101" t="str">
        <f>'Data Siswa'!B25</f>
        <v>ZEN KEMAL AISY</v>
      </c>
      <c r="C27" s="8" t="str">
        <f>'Data Siswa'!C25</f>
        <v>0437</v>
      </c>
      <c r="D27" s="19">
        <v>8</v>
      </c>
      <c r="E27" s="19">
        <v>8</v>
      </c>
      <c r="F27" s="19">
        <v>8</v>
      </c>
      <c r="G27" s="19"/>
      <c r="H27" s="19"/>
      <c r="I27" s="19"/>
      <c r="J27" s="99" t="s">
        <v>289</v>
      </c>
    </row>
    <row r="28" spans="1:10" ht="15.5" x14ac:dyDescent="0.35">
      <c r="A28" s="8">
        <f>'Data Siswa'!A26</f>
        <v>25</v>
      </c>
      <c r="B28" s="101">
        <f>'Data Siswa'!B26</f>
        <v>0</v>
      </c>
      <c r="C28" s="8">
        <f>'Data Siswa'!C26</f>
        <v>0</v>
      </c>
      <c r="D28" s="19"/>
      <c r="E28" s="19"/>
      <c r="F28" s="19"/>
      <c r="G28" s="19"/>
      <c r="H28" s="19"/>
      <c r="I28" s="19"/>
      <c r="J28" s="99" t="s">
        <v>289</v>
      </c>
    </row>
    <row r="29" spans="1:10" ht="15.5" x14ac:dyDescent="0.35">
      <c r="A29" s="8">
        <f>'Data Siswa'!A27</f>
        <v>26</v>
      </c>
      <c r="B29" s="101">
        <f>'Data Siswa'!B27</f>
        <v>0</v>
      </c>
      <c r="C29" s="8">
        <f>'Data Siswa'!C27</f>
        <v>0</v>
      </c>
      <c r="D29" s="19"/>
      <c r="E29" s="19"/>
      <c r="F29" s="19"/>
      <c r="G29" s="19"/>
      <c r="H29" s="19"/>
      <c r="I29" s="19"/>
      <c r="J29" s="99" t="s">
        <v>289</v>
      </c>
    </row>
    <row r="30" spans="1:10" ht="15.5" x14ac:dyDescent="0.35">
      <c r="A30" s="8">
        <f>'Data Siswa'!A28</f>
        <v>27</v>
      </c>
      <c r="B30" s="101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99" t="s">
        <v>289</v>
      </c>
    </row>
    <row r="31" spans="1:10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99" t="s">
        <v>289</v>
      </c>
    </row>
    <row r="32" spans="1:10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99" t="s">
        <v>289</v>
      </c>
    </row>
    <row r="33" spans="1:10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99" t="s">
        <v>289</v>
      </c>
    </row>
    <row r="34" spans="1:10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99" t="s">
        <v>280</v>
      </c>
    </row>
    <row r="35" spans="1:10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99" t="s">
        <v>280</v>
      </c>
    </row>
    <row r="36" spans="1:10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99" t="s">
        <v>280</v>
      </c>
    </row>
    <row r="37" spans="1:10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99" t="s">
        <v>280</v>
      </c>
    </row>
    <row r="38" spans="1:10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99" t="s">
        <v>280</v>
      </c>
    </row>
    <row r="39" spans="1:10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99" t="s">
        <v>280</v>
      </c>
    </row>
    <row r="40" spans="1:10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99" t="s">
        <v>280</v>
      </c>
    </row>
    <row r="41" spans="1:10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99" t="s">
        <v>280</v>
      </c>
    </row>
    <row r="42" spans="1:10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99" t="s">
        <v>280</v>
      </c>
    </row>
    <row r="43" spans="1:10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99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zoomScale="85" zoomScaleNormal="70" zoomScalePageLayoutView="85" workbookViewId="0">
      <selection activeCell="V53" sqref="V53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5" t="str">
        <f>VLOOKUP($U$8,'Nilai Tahriri'!$A$2:$X$41,2,FALSE)&amp;" ( "&amp;VLOOKUP($U$8,'Data Siswa'!$A$2:$D$41,3,FALSE)&amp;" )"</f>
        <v>ZEN KEMAL AISY ( 0437 )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</row>
    <row r="2" spans="2:28" ht="11.5" customHeight="1" x14ac:dyDescent="0.35"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66" t="str">
        <f>Biodata!$B$12</f>
        <v>١٤٤٥ - ١٤٤٦ ه</v>
      </c>
      <c r="C3" s="266"/>
      <c r="D3" s="267" t="str">
        <f>Biodata!$B$10</f>
        <v xml:space="preserve">العام الدراسي : </v>
      </c>
      <c r="E3" s="267"/>
      <c r="F3" s="267"/>
      <c r="G3" s="267"/>
      <c r="H3" s="267"/>
      <c r="I3" s="267"/>
      <c r="J3" s="267"/>
      <c r="K3" s="269" t="str">
        <f>Biodata!$B$7</f>
        <v>الفصل الدراسي : الأول</v>
      </c>
      <c r="M3" s="269" t="str">
        <f>Biodata!$B$4</f>
        <v>الصف  : الخامس أ للبنين</v>
      </c>
      <c r="N3" s="269"/>
      <c r="O3" s="271" t="str">
        <f>(VLOOKUP($U$8,'Data Siswa'!$A$2:$D$41,4,FALSE))</f>
        <v xml:space="preserve"> </v>
      </c>
      <c r="P3" s="271"/>
      <c r="Q3" s="271"/>
      <c r="R3" s="273" t="s">
        <v>286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275" t="str">
        <f>Biodata!$B$11</f>
        <v>٢٠٢٤ - ٢٠٢٥ م</v>
      </c>
      <c r="C4" s="275"/>
      <c r="D4" s="268"/>
      <c r="E4" s="268"/>
      <c r="F4" s="268"/>
      <c r="G4" s="268"/>
      <c r="H4" s="268"/>
      <c r="I4" s="268"/>
      <c r="J4" s="268"/>
      <c r="K4" s="270"/>
      <c r="L4" s="112"/>
      <c r="M4" s="270"/>
      <c r="N4" s="270"/>
      <c r="O4" s="272"/>
      <c r="P4" s="272"/>
      <c r="Q4" s="272"/>
      <c r="R4" s="27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252" t="s">
        <v>269</v>
      </c>
      <c r="C6" s="253"/>
      <c r="D6" s="253"/>
      <c r="E6" s="253"/>
      <c r="F6" s="253"/>
      <c r="G6" s="253"/>
      <c r="H6" s="253"/>
      <c r="I6" s="253"/>
      <c r="J6" s="253"/>
      <c r="K6" s="253"/>
      <c r="L6" s="254" t="s">
        <v>0</v>
      </c>
      <c r="M6" s="252" t="s">
        <v>269</v>
      </c>
      <c r="N6" s="253"/>
      <c r="O6" s="253"/>
      <c r="P6" s="253"/>
      <c r="Q6" s="253"/>
      <c r="R6" s="259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261" t="s">
        <v>1</v>
      </c>
      <c r="C7" s="262"/>
      <c r="D7" s="262"/>
      <c r="E7" s="262"/>
      <c r="F7" s="262"/>
      <c r="G7" s="262" t="s">
        <v>2</v>
      </c>
      <c r="H7" s="262"/>
      <c r="I7" s="262"/>
      <c r="J7" s="262"/>
      <c r="K7" s="262"/>
      <c r="L7" s="255"/>
      <c r="M7" s="261" t="s">
        <v>1</v>
      </c>
      <c r="N7" s="262"/>
      <c r="O7" s="262" t="s">
        <v>3</v>
      </c>
      <c r="P7" s="262"/>
      <c r="Q7" s="262"/>
      <c r="R7" s="260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70" t="s">
        <v>4</v>
      </c>
      <c r="C8" s="207" t="s">
        <v>5</v>
      </c>
      <c r="D8" s="207"/>
      <c r="E8" s="207"/>
      <c r="F8" s="207"/>
      <c r="G8" s="207"/>
      <c r="H8" s="207"/>
      <c r="I8" s="207"/>
      <c r="J8" s="207"/>
      <c r="K8" s="207"/>
      <c r="L8" s="256"/>
      <c r="M8" s="67" t="s">
        <v>4</v>
      </c>
      <c r="N8" s="33" t="s">
        <v>5</v>
      </c>
      <c r="O8" s="207"/>
      <c r="P8" s="207"/>
      <c r="Q8" s="207"/>
      <c r="R8" s="260"/>
      <c r="S8" s="23"/>
      <c r="T8" s="23"/>
      <c r="U8" s="25">
        <v>24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168" t="s">
        <v>142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89" t="str">
        <f>VLOOKUP(N9,Sheet1!$A$1:$B$93,2)</f>
        <v xml:space="preserve"> </v>
      </c>
      <c r="N9" s="94"/>
      <c r="O9" s="96"/>
      <c r="P9" s="257" t="s">
        <v>100</v>
      </c>
      <c r="Q9" s="258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79" t="str">
        <f>VLOOKUP(C10,Sheet1!$A$1:$B$93,2)</f>
        <v xml:space="preserve"> خمس و نصف</v>
      </c>
      <c r="C10" s="180">
        <f>VLOOKUP($U$8,'Nilai Syafahi'!$A$4:$Z$43,4,FALSE)</f>
        <v>5.5</v>
      </c>
      <c r="D10" s="181"/>
      <c r="E10" s="181"/>
      <c r="F10" s="181"/>
      <c r="G10" s="170" t="s">
        <v>144</v>
      </c>
      <c r="H10" s="171"/>
      <c r="I10" s="171"/>
      <c r="J10" s="171"/>
      <c r="K10" s="172"/>
      <c r="L10" s="82">
        <v>40</v>
      </c>
      <c r="M10" s="90" t="str">
        <f>VLOOKUP(N10,Sheet1!$A$1:$B$93,2)</f>
        <v xml:space="preserve"> ستّ</v>
      </c>
      <c r="N10" s="68">
        <f>VLOOKUP($U$8,'Nilai Tahriri'!$A$2:$AJ$41,4,FALSE)</f>
        <v>6</v>
      </c>
      <c r="O10" s="92"/>
      <c r="P10" s="160" t="s">
        <v>101</v>
      </c>
      <c r="Q10" s="161"/>
      <c r="R10" s="62">
        <v>2</v>
      </c>
      <c r="S10" s="23"/>
      <c r="T10" s="23"/>
      <c r="U10" s="246" t="s">
        <v>152</v>
      </c>
      <c r="V10" s="248">
        <v>1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خمس</v>
      </c>
      <c r="C11" s="155">
        <f>VLOOKUP($U$8,'Nilai Syafahi'!$A$4:$Z$43,5,FALSE)</f>
        <v>5</v>
      </c>
      <c r="D11" s="156"/>
      <c r="E11" s="156"/>
      <c r="F11" s="156"/>
      <c r="G11" s="157"/>
      <c r="H11" s="158"/>
      <c r="I11" s="158"/>
      <c r="J11" s="158"/>
      <c r="K11" s="66" t="s">
        <v>6</v>
      </c>
      <c r="L11" s="83">
        <v>41</v>
      </c>
      <c r="M11" s="90" t="str">
        <f>VLOOKUP(N11,Sheet1!$A$1:$B$93,2)</f>
        <v xml:space="preserve"> خمس</v>
      </c>
      <c r="N11" s="68">
        <f>VLOOKUP($U$8,'Nilai Tahriri'!$A$2:$AJ$41,5,FALSE)</f>
        <v>5</v>
      </c>
      <c r="O11" s="92"/>
      <c r="P11" s="160" t="s">
        <v>102</v>
      </c>
      <c r="Q11" s="161"/>
      <c r="R11" s="62">
        <v>3</v>
      </c>
      <c r="S11" s="23"/>
      <c r="T11" s="23"/>
      <c r="U11" s="247"/>
      <c r="V11" s="24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اربع و نصف</v>
      </c>
      <c r="C12" s="155">
        <f>VLOOKUP($U$8,'Nilai Syafahi'!$A$4:$Z$43,6,FALSE)</f>
        <v>4.5</v>
      </c>
      <c r="D12" s="156"/>
      <c r="E12" s="156"/>
      <c r="F12" s="156"/>
      <c r="G12" s="157"/>
      <c r="H12" s="158"/>
      <c r="I12" s="158"/>
      <c r="J12" s="158"/>
      <c r="K12" s="66" t="s">
        <v>8</v>
      </c>
      <c r="L12" s="83">
        <v>42</v>
      </c>
      <c r="M12" s="90" t="str">
        <f>VLOOKUP(N12,Sheet1!$A$1:$B$93,2)</f>
        <v xml:space="preserve"> خمس</v>
      </c>
      <c r="N12" s="68">
        <f>VLOOKUP($U$8,'Nilai Tahriri'!$A$2:$AJ$41,6,FALSE)</f>
        <v>5</v>
      </c>
      <c r="O12" s="92"/>
      <c r="P12" s="160" t="s">
        <v>103</v>
      </c>
      <c r="Q12" s="161"/>
      <c r="R12" s="62">
        <v>4</v>
      </c>
      <c r="S12" s="23"/>
      <c r="T12" s="23"/>
      <c r="U12" s="246" t="s">
        <v>153</v>
      </c>
      <c r="V12" s="250">
        <v>24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ستّ</v>
      </c>
      <c r="C13" s="155">
        <f>VLOOKUP($U$8,'Nilai Syafahi'!$A$4:$Z$43,7,FALSE)</f>
        <v>6</v>
      </c>
      <c r="D13" s="156"/>
      <c r="E13" s="156"/>
      <c r="F13" s="156"/>
      <c r="G13" s="157"/>
      <c r="H13" s="158"/>
      <c r="I13" s="158"/>
      <c r="J13" s="158"/>
      <c r="K13" s="66" t="s">
        <v>10</v>
      </c>
      <c r="L13" s="83">
        <v>43</v>
      </c>
      <c r="M13" s="90" t="str">
        <f>VLOOKUP(N13,Sheet1!$A$1:$B$93,2)</f>
        <v xml:space="preserve"> اربع</v>
      </c>
      <c r="N13" s="68">
        <f>VLOOKUP($U$8,'Nilai Tahriri'!$A$2:$AJ$41,7,FALSE)</f>
        <v>4</v>
      </c>
      <c r="O13" s="92"/>
      <c r="P13" s="160" t="s">
        <v>104</v>
      </c>
      <c r="Q13" s="161"/>
      <c r="R13" s="62">
        <v>5</v>
      </c>
      <c r="S13" s="23"/>
      <c r="T13" s="23"/>
      <c r="U13" s="247"/>
      <c r="V13" s="24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خمس</v>
      </c>
      <c r="C14" s="155">
        <f>VLOOKUP($U$8,'Nilai Syafahi'!$A$4:$Z$43,8,FALSE)</f>
        <v>5</v>
      </c>
      <c r="D14" s="156"/>
      <c r="E14" s="156"/>
      <c r="F14" s="156"/>
      <c r="G14" s="157"/>
      <c r="H14" s="158"/>
      <c r="I14" s="158"/>
      <c r="J14" s="158"/>
      <c r="K14" s="66" t="s">
        <v>12</v>
      </c>
      <c r="L14" s="83">
        <v>44</v>
      </c>
      <c r="M14" s="90" t="str">
        <f>VLOOKUP(N14,Sheet1!$A$1:$B$93,2)</f>
        <v xml:space="preserve"> خمس</v>
      </c>
      <c r="N14" s="68">
        <f>VLOOKUP($U$8,'Nilai Tahriri'!$A$2:$AJ$41,8,FALSE)</f>
        <v>5</v>
      </c>
      <c r="O14" s="92"/>
      <c r="P14" s="160" t="s">
        <v>105</v>
      </c>
      <c r="Q14" s="161"/>
      <c r="R14" s="62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اربع و نصف</v>
      </c>
      <c r="C15" s="155">
        <f>VLOOKUP($U$8,'Nilai Syafahi'!$A$4:$Z$43,9,FALSE)</f>
        <v>4.5</v>
      </c>
      <c r="D15" s="156"/>
      <c r="E15" s="156"/>
      <c r="F15" s="156"/>
      <c r="G15" s="157"/>
      <c r="H15" s="158"/>
      <c r="I15" s="158"/>
      <c r="J15" s="158"/>
      <c r="K15" s="66" t="s">
        <v>14</v>
      </c>
      <c r="L15" s="83">
        <v>45</v>
      </c>
      <c r="M15" s="90" t="str">
        <f>VLOOKUP(N15,Sheet1!$A$1:$B$93,2)</f>
        <v xml:space="preserve"> ستّ</v>
      </c>
      <c r="N15" s="68">
        <f>VLOOKUP($U$8,'Nilai Tahriri'!$A$2:$AJ$41,9,FALSE)</f>
        <v>6</v>
      </c>
      <c r="O15" s="92"/>
      <c r="P15" s="160" t="s">
        <v>106</v>
      </c>
      <c r="Q15" s="161"/>
      <c r="R15" s="62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168" t="s">
        <v>143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90" t="str">
        <f>VLOOKUP(N16,Sheet1!$A$1:$B$93,2)</f>
        <v xml:space="preserve"> </v>
      </c>
      <c r="N16" s="68"/>
      <c r="O16" s="92"/>
      <c r="P16" s="160" t="s">
        <v>107</v>
      </c>
      <c r="Q16" s="161"/>
      <c r="R16" s="62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اربع</v>
      </c>
      <c r="C17" s="155">
        <f>VLOOKUP($U$8,'Nilai Syafahi'!$A$4:$Z$43,10,FALSE)</f>
        <v>4</v>
      </c>
      <c r="D17" s="156"/>
      <c r="E17" s="156"/>
      <c r="F17" s="156"/>
      <c r="G17" s="173" t="s">
        <v>66</v>
      </c>
      <c r="H17" s="174"/>
      <c r="I17" s="174"/>
      <c r="J17" s="174"/>
      <c r="K17" s="175"/>
      <c r="L17" s="83">
        <v>46</v>
      </c>
      <c r="M17" s="90" t="str">
        <f>VLOOKUP(N17,Sheet1!$A$1:$B$93,2)</f>
        <v xml:space="preserve"> سبع</v>
      </c>
      <c r="N17" s="68">
        <f>VLOOKUP($U$8,'Nilai Tahriri'!$A$2:$AJ$41,10,FALSE)</f>
        <v>7</v>
      </c>
      <c r="O17" s="92"/>
      <c r="P17" s="160" t="s">
        <v>108</v>
      </c>
      <c r="Q17" s="161"/>
      <c r="R17" s="62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اربع</v>
      </c>
      <c r="C18" s="155">
        <f>VLOOKUP($U$8,'Nilai Syafahi'!$A$4:$Z$43,11,FALSE)</f>
        <v>4</v>
      </c>
      <c r="D18" s="156"/>
      <c r="E18" s="156"/>
      <c r="F18" s="156"/>
      <c r="G18" s="173" t="s">
        <v>180</v>
      </c>
      <c r="H18" s="174" t="s">
        <v>180</v>
      </c>
      <c r="I18" s="174" t="s">
        <v>180</v>
      </c>
      <c r="J18" s="174" t="s">
        <v>180</v>
      </c>
      <c r="K18" s="175" t="s">
        <v>180</v>
      </c>
      <c r="L18" s="83">
        <v>47</v>
      </c>
      <c r="M18" s="90" t="str">
        <f>VLOOKUP(N18,Sheet1!$A$1:$B$93,2)</f>
        <v xml:space="preserve"> ستّ</v>
      </c>
      <c r="N18" s="68">
        <f>VLOOKUP($U$8,'Nilai Tahriri'!$A$2:$AJ$41,11,FALSE)</f>
        <v>6</v>
      </c>
      <c r="O18" s="92"/>
      <c r="P18" s="160" t="s">
        <v>109</v>
      </c>
      <c r="Q18" s="161"/>
      <c r="R18" s="62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اربع</v>
      </c>
      <c r="C19" s="155">
        <f>VLOOKUP($U$8,'Nilai Syafahi'!$A$4:$Z$43,12,FALSE)</f>
        <v>4</v>
      </c>
      <c r="D19" s="156"/>
      <c r="E19" s="156"/>
      <c r="F19" s="156"/>
      <c r="G19" s="173" t="s">
        <v>88</v>
      </c>
      <c r="H19" s="174"/>
      <c r="I19" s="174"/>
      <c r="J19" s="174"/>
      <c r="K19" s="175"/>
      <c r="L19" s="83">
        <v>48</v>
      </c>
      <c r="M19" s="90" t="str">
        <f>VLOOKUP(N19,Sheet1!$A$1:$B$93,2)</f>
        <v xml:space="preserve"> سبع و نصف</v>
      </c>
      <c r="N19" s="68">
        <f>VLOOKUP($U$8,'Nilai Tahriri'!$A$2:$AJ$41,12,FALSE)</f>
        <v>7.5</v>
      </c>
      <c r="O19" s="92"/>
      <c r="P19" s="160" t="s">
        <v>110</v>
      </c>
      <c r="Q19" s="161"/>
      <c r="R19" s="62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اربع</v>
      </c>
      <c r="C20" s="155">
        <f>VLOOKUP($U$8,'Nilai Syafahi'!$A$4:$Z$43,13,FALSE)</f>
        <v>4</v>
      </c>
      <c r="D20" s="156"/>
      <c r="E20" s="156"/>
      <c r="F20" s="156"/>
      <c r="G20" s="173" t="s">
        <v>268</v>
      </c>
      <c r="H20" s="174"/>
      <c r="I20" s="174"/>
      <c r="J20" s="174"/>
      <c r="K20" s="175"/>
      <c r="L20" s="83">
        <v>49</v>
      </c>
      <c r="M20" s="90" t="str">
        <f>VLOOKUP(N20,Sheet1!$A$1:$B$93,2)</f>
        <v xml:space="preserve"> خمس</v>
      </c>
      <c r="N20" s="68">
        <f>VLOOKUP($U$8,'Nilai Tahriri'!$A$2:$AJ$41,13,FALSE)</f>
        <v>5</v>
      </c>
      <c r="O20" s="92"/>
      <c r="P20" s="160" t="s">
        <v>111</v>
      </c>
      <c r="Q20" s="161"/>
      <c r="R20" s="62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0" t="str">
        <f>VLOOKUP(C21,Sheet1!$A$1:$B$93,2)</f>
        <v xml:space="preserve"> اربع</v>
      </c>
      <c r="C21" s="155">
        <f>VLOOKUP($U$8,'Nilai Syafahi'!$A$4:$Z$43,14,FALSE)</f>
        <v>4</v>
      </c>
      <c r="D21" s="156"/>
      <c r="E21" s="156"/>
      <c r="F21" s="156"/>
      <c r="G21" s="173" t="s">
        <v>89</v>
      </c>
      <c r="H21" s="174"/>
      <c r="I21" s="174"/>
      <c r="J21" s="174"/>
      <c r="K21" s="175"/>
      <c r="L21" s="83">
        <v>50</v>
      </c>
      <c r="M21" s="90" t="str">
        <f>VLOOKUP(N21,Sheet1!$A$1:$B$93,2)</f>
        <v xml:space="preserve"> سبع</v>
      </c>
      <c r="N21" s="68">
        <f>VLOOKUP($U$8,'Nilai Tahriri'!$A$2:$AJ$41,14,FALSE)</f>
        <v>7</v>
      </c>
      <c r="O21" s="92"/>
      <c r="P21" s="160" t="s">
        <v>112</v>
      </c>
      <c r="Q21" s="161"/>
      <c r="R21" s="62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63" t="s">
        <v>140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90" t="str">
        <f>VLOOKUP(N22,Sheet1!$A$1:$B$93,2)</f>
        <v xml:space="preserve"> ست و نصف</v>
      </c>
      <c r="N22" s="68">
        <f>VLOOKUP($U$8,'Nilai Tahriri'!$A$2:$AJ$41,15,FALSE)</f>
        <v>6.5</v>
      </c>
      <c r="O22" s="92"/>
      <c r="P22" s="160" t="s">
        <v>10</v>
      </c>
      <c r="Q22" s="161"/>
      <c r="R22" s="62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خمس</v>
      </c>
      <c r="C23" s="165">
        <f>VLOOKUP($U$8,'Nilai Syafahi'!$A$4:$Z$43,15,FALSE)</f>
        <v>5</v>
      </c>
      <c r="D23" s="165"/>
      <c r="E23" s="165"/>
      <c r="F23" s="165"/>
      <c r="G23" s="244" t="s">
        <v>182</v>
      </c>
      <c r="H23" s="245"/>
      <c r="I23" s="245"/>
      <c r="J23" s="245"/>
      <c r="K23" s="245"/>
      <c r="L23" s="84">
        <v>51</v>
      </c>
      <c r="M23" s="90" t="str">
        <f>VLOOKUP(N23,Sheet1!$A$1:$B$93,2)</f>
        <v xml:space="preserve"> خمس و نصف</v>
      </c>
      <c r="N23" s="68">
        <f>VLOOKUP($U$8,'Nilai Tahriri'!$A$2:$AJ$41,16,FALSE)</f>
        <v>5.5</v>
      </c>
      <c r="O23" s="92"/>
      <c r="P23" s="160" t="s">
        <v>12</v>
      </c>
      <c r="Q23" s="161">
        <v>12</v>
      </c>
      <c r="R23" s="62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خمس</v>
      </c>
      <c r="C24" s="165">
        <f>VLOOKUP($U$8,'Nilai Syafahi'!$A$4:$Z$43,16,FALSE)</f>
        <v>5</v>
      </c>
      <c r="D24" s="165"/>
      <c r="E24" s="165"/>
      <c r="F24" s="165"/>
      <c r="G24" s="159" t="s">
        <v>181</v>
      </c>
      <c r="H24" s="160"/>
      <c r="I24" s="160"/>
      <c r="J24" s="160"/>
      <c r="K24" s="160"/>
      <c r="L24" s="85">
        <v>52</v>
      </c>
      <c r="M24" s="90" t="str">
        <f>VLOOKUP(N24,Sheet1!$A$1:$B$93,2)</f>
        <v xml:space="preserve"> ستّ</v>
      </c>
      <c r="N24" s="68">
        <f>VLOOKUP($U$8,'Nilai Tahriri'!$A$2:$AJ$41,17,FALSE)</f>
        <v>6</v>
      </c>
      <c r="O24" s="92"/>
      <c r="P24" s="160" t="s">
        <v>113</v>
      </c>
      <c r="Q24" s="161"/>
      <c r="R24" s="62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خمس</v>
      </c>
      <c r="C25" s="165">
        <f>VLOOKUP($U$8,'Nilai Syafahi'!$A$4:$Z$43,17,FALSE)</f>
        <v>5</v>
      </c>
      <c r="D25" s="165"/>
      <c r="E25" s="165"/>
      <c r="F25" s="165"/>
      <c r="G25" s="159" t="s">
        <v>16</v>
      </c>
      <c r="H25" s="160"/>
      <c r="I25" s="160"/>
      <c r="J25" s="160"/>
      <c r="K25" s="160"/>
      <c r="L25" s="86">
        <v>53</v>
      </c>
      <c r="M25" s="90" t="str">
        <f>VLOOKUP(N25,Sheet1!$A$1:$B$93,2)</f>
        <v xml:space="preserve"> اربع</v>
      </c>
      <c r="N25" s="68">
        <f>VLOOKUP($U$8,'Nilai Tahriri'!$A$2:$AJ$41,18,FALSE)</f>
        <v>4</v>
      </c>
      <c r="O25" s="92"/>
      <c r="P25" s="160" t="s">
        <v>114</v>
      </c>
      <c r="Q25" s="161"/>
      <c r="R25" s="62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ستّ</v>
      </c>
      <c r="C26" s="165">
        <f>VLOOKUP($U$8,'Nilai Syafahi'!$A$4:$Z$43,18,FALSE)</f>
        <v>6</v>
      </c>
      <c r="D26" s="165"/>
      <c r="E26" s="165"/>
      <c r="F26" s="165"/>
      <c r="G26" s="159" t="s">
        <v>104</v>
      </c>
      <c r="H26" s="160"/>
      <c r="I26" s="160"/>
      <c r="J26" s="160"/>
      <c r="K26" s="160"/>
      <c r="L26" s="85">
        <v>54</v>
      </c>
      <c r="M26" s="90" t="str">
        <f>VLOOKUP(N26,Sheet1!$A$1:$B$93,2)</f>
        <v xml:space="preserve"> اربع</v>
      </c>
      <c r="N26" s="68">
        <f>VLOOKUP($U$8,'Nilai Tahriri'!$A$2:$AJ$41,19,FALSE)</f>
        <v>4</v>
      </c>
      <c r="O26" s="92"/>
      <c r="P26" s="160" t="s">
        <v>115</v>
      </c>
      <c r="Q26" s="161"/>
      <c r="R26" s="62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65"/>
      <c r="D27" s="165"/>
      <c r="E27" s="165"/>
      <c r="F27" s="165"/>
      <c r="G27" s="166" t="s">
        <v>183</v>
      </c>
      <c r="H27" s="167"/>
      <c r="I27" s="167"/>
      <c r="J27" s="167"/>
      <c r="K27" s="63" t="s">
        <v>267</v>
      </c>
      <c r="L27" s="86">
        <v>55</v>
      </c>
      <c r="M27" s="90" t="str">
        <f>VLOOKUP(N27,Sheet1!$A$1:$B$93,2)</f>
        <v xml:space="preserve"> </v>
      </c>
      <c r="N27" s="68"/>
      <c r="O27" s="92"/>
      <c r="P27" s="160" t="s">
        <v>116</v>
      </c>
      <c r="Q27" s="161"/>
      <c r="R27" s="62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0" t="str">
        <f>VLOOKUP(C28,Sheet1!$A$1:$B$93,2)</f>
        <v xml:space="preserve"> ستّ</v>
      </c>
      <c r="C28" s="193">
        <f>VLOOKUP($U$8,'Nilai Syafahi'!$A$4:$Z$43,19,FALSE)</f>
        <v>6</v>
      </c>
      <c r="D28" s="193"/>
      <c r="E28" s="193"/>
      <c r="F28" s="193"/>
      <c r="G28" s="159" t="s">
        <v>19</v>
      </c>
      <c r="H28" s="160"/>
      <c r="I28" s="160"/>
      <c r="J28" s="160"/>
      <c r="K28" s="160"/>
      <c r="L28" s="87">
        <v>56</v>
      </c>
      <c r="M28" s="90" t="str">
        <f>VLOOKUP(N28,Sheet1!$A$1:$B$93,2)</f>
        <v xml:space="preserve"> </v>
      </c>
      <c r="N28" s="68"/>
      <c r="O28" s="92"/>
      <c r="P28" s="160" t="s">
        <v>117</v>
      </c>
      <c r="Q28" s="161"/>
      <c r="R28" s="62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168" t="s">
        <v>141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90" t="str">
        <f>VLOOKUP(N29,Sheet1!$A$1:$B$93,2)</f>
        <v xml:space="preserve"> ستّ</v>
      </c>
      <c r="N29" s="68">
        <f>VLOOKUP($U$8,'Nilai Tahriri'!$A$2:$AJ$41,20,FALSE)</f>
        <v>6</v>
      </c>
      <c r="O29" s="92"/>
      <c r="P29" s="160" t="s">
        <v>118</v>
      </c>
      <c r="Q29" s="161"/>
      <c r="R29" s="62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65"/>
      <c r="D30" s="165"/>
      <c r="E30" s="165"/>
      <c r="F30" s="165"/>
      <c r="G30" s="170" t="s">
        <v>21</v>
      </c>
      <c r="H30" s="171"/>
      <c r="I30" s="171"/>
      <c r="J30" s="171"/>
      <c r="K30" s="172"/>
      <c r="L30" s="88">
        <v>57</v>
      </c>
      <c r="M30" s="90" t="str">
        <f>VLOOKUP(N30,Sheet1!$A$1:$B$93,2)</f>
        <v xml:space="preserve"> ستّ</v>
      </c>
      <c r="N30" s="68">
        <f>VLOOKUP($U$8,'Nilai Tahriri'!$A$2:$AJ$41,21,FALSE)</f>
        <v>6</v>
      </c>
      <c r="O30" s="92"/>
      <c r="P30" s="160" t="s">
        <v>119</v>
      </c>
      <c r="Q30" s="161"/>
      <c r="R30" s="62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65"/>
      <c r="D31" s="165"/>
      <c r="E31" s="165"/>
      <c r="F31" s="165"/>
      <c r="G31" s="159" t="s">
        <v>22</v>
      </c>
      <c r="H31" s="160"/>
      <c r="I31" s="160"/>
      <c r="J31" s="160"/>
      <c r="K31" s="161"/>
      <c r="L31" s="85">
        <v>58</v>
      </c>
      <c r="M31" s="90" t="str">
        <f>VLOOKUP(N31,Sheet1!$A$1:$B$93,2)</f>
        <v xml:space="preserve"> خمس و نصف</v>
      </c>
      <c r="N31" s="68">
        <f>VLOOKUP($U$8,'Nilai Tahriri'!$A$2:$AJ$41,22,FALSE)</f>
        <v>5.5</v>
      </c>
      <c r="O31" s="92"/>
      <c r="P31" s="160" t="s">
        <v>120</v>
      </c>
      <c r="Q31" s="161"/>
      <c r="R31" s="62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1" t="str">
        <f>VLOOKUP(C32,Sheet1!$A$1:$B$93,2)</f>
        <v xml:space="preserve"> </v>
      </c>
      <c r="C32" s="190"/>
      <c r="D32" s="190"/>
      <c r="E32" s="190"/>
      <c r="F32" s="190"/>
      <c r="G32" s="159" t="s">
        <v>24</v>
      </c>
      <c r="H32" s="160"/>
      <c r="I32" s="160"/>
      <c r="J32" s="160"/>
      <c r="K32" s="161"/>
      <c r="L32" s="88">
        <v>59</v>
      </c>
      <c r="M32" s="90" t="str">
        <f>VLOOKUP(N32,Sheet1!$A$1:$B$93,2)</f>
        <v xml:space="preserve"> </v>
      </c>
      <c r="N32" s="68"/>
      <c r="O32" s="92"/>
      <c r="P32" s="160" t="s">
        <v>28</v>
      </c>
      <c r="Q32" s="161"/>
      <c r="R32" s="62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1" t="str">
        <f>VLOOKUP(C33,Sheet1!$A$1:$B$93,2)</f>
        <v xml:space="preserve"> </v>
      </c>
      <c r="C33" s="190"/>
      <c r="D33" s="190"/>
      <c r="E33" s="190"/>
      <c r="F33" s="190"/>
      <c r="G33" s="162" t="s">
        <v>25</v>
      </c>
      <c r="H33" s="163"/>
      <c r="I33" s="163"/>
      <c r="J33" s="163"/>
      <c r="K33" s="164"/>
      <c r="L33" s="85">
        <v>60</v>
      </c>
      <c r="M33" s="90" t="str">
        <f>VLOOKUP(N33,Sheet1!$A$1:$B$93,2)</f>
        <v xml:space="preserve"> سبع</v>
      </c>
      <c r="N33" s="68">
        <f>VLOOKUP($U$8,'Nilai Tahriri'!$A$2:$AJ$41,23,FALSE)</f>
        <v>7</v>
      </c>
      <c r="O33" s="92"/>
      <c r="P33" s="160" t="s">
        <v>121</v>
      </c>
      <c r="Q33" s="161"/>
      <c r="R33" s="62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197">
        <f>VLOOKUP($U$8,'Nilai Syafahi'!$A$4:$Z$43,20,FALSE)</f>
        <v>77.5</v>
      </c>
      <c r="C34" s="198"/>
      <c r="D34" s="198"/>
      <c r="E34" s="198"/>
      <c r="F34" s="198"/>
      <c r="G34" s="198"/>
      <c r="H34" s="198"/>
      <c r="I34" s="198"/>
      <c r="J34" s="198"/>
      <c r="K34" s="199" t="s">
        <v>27</v>
      </c>
      <c r="L34" s="200"/>
      <c r="M34" s="90" t="str">
        <f>VLOOKUP(N34,Sheet1!$A$1:$B$93,2)</f>
        <v xml:space="preserve"> سبع</v>
      </c>
      <c r="N34" s="68">
        <f>VLOOKUP($U$8,'Nilai Tahriri'!$A$2:$AJ$41,24,FALSE)</f>
        <v>7</v>
      </c>
      <c r="O34" s="92"/>
      <c r="P34" s="160" t="s">
        <v>122</v>
      </c>
      <c r="Q34" s="161"/>
      <c r="R34" s="62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11"/>
      <c r="C35" s="212"/>
      <c r="D35" s="212"/>
      <c r="E35" s="212"/>
      <c r="F35" s="212"/>
      <c r="G35" s="212"/>
      <c r="H35" s="212"/>
      <c r="I35" s="212"/>
      <c r="J35" s="212"/>
      <c r="K35" s="213"/>
      <c r="L35" s="219"/>
      <c r="M35" s="90" t="str">
        <f>VLOOKUP(N35,Sheet1!$A$1:$B$93,2)</f>
        <v xml:space="preserve"> سبع و نصف</v>
      </c>
      <c r="N35" s="94">
        <f>VLOOKUP($U$8,'Nilai Tahriri'!$A$2:$AJ$41,25,FALSE)</f>
        <v>7.5</v>
      </c>
      <c r="O35" s="97" t="s">
        <v>139</v>
      </c>
      <c r="P35" s="160" t="s">
        <v>123</v>
      </c>
      <c r="Q35" s="161"/>
      <c r="R35" s="95">
        <v>27</v>
      </c>
      <c r="S35" s="20"/>
      <c r="T35" s="20"/>
      <c r="U35" s="93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194" t="s">
        <v>31</v>
      </c>
      <c r="C36" s="195"/>
      <c r="D36" s="195"/>
      <c r="E36" s="195"/>
      <c r="F36" s="195"/>
      <c r="G36" s="195"/>
      <c r="H36" s="195"/>
      <c r="I36" s="195"/>
      <c r="J36" s="195"/>
      <c r="K36" s="196"/>
      <c r="L36" s="220"/>
      <c r="M36" s="90" t="str">
        <f>VLOOKUP(N36,Sheet1!$A$1:$B$93,2)</f>
        <v xml:space="preserve"> خمس و نصف</v>
      </c>
      <c r="N36" s="68">
        <f>VLOOKUP($U$8,'Nilai Tahriri'!$A$2:$AJ$41,26,FALSE)</f>
        <v>5.5</v>
      </c>
      <c r="O36" s="97" t="s">
        <v>137</v>
      </c>
      <c r="P36" s="160" t="s">
        <v>124</v>
      </c>
      <c r="Q36" s="161"/>
      <c r="R36" s="62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23" t="s">
        <v>32</v>
      </c>
      <c r="C37" s="224"/>
      <c r="D37" s="224" t="s">
        <v>33</v>
      </c>
      <c r="E37" s="224"/>
      <c r="F37" s="224"/>
      <c r="G37" s="224"/>
      <c r="H37" s="224"/>
      <c r="I37" s="224"/>
      <c r="J37" s="224"/>
      <c r="K37" s="36" t="s">
        <v>34</v>
      </c>
      <c r="L37" s="220"/>
      <c r="M37" s="90" t="str">
        <f>VLOOKUP(N37,Sheet1!$A$1:$B$93,2)</f>
        <v xml:space="preserve"> ثمان</v>
      </c>
      <c r="N37" s="68">
        <f>VLOOKUP($U$8,'Nilai Tahriri'!$A$2:$AJ$41,27,FALSE)</f>
        <v>8</v>
      </c>
      <c r="O37" s="97" t="s">
        <v>138</v>
      </c>
      <c r="P37" s="160" t="s">
        <v>125</v>
      </c>
      <c r="Q37" s="161"/>
      <c r="R37" s="62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01">
        <f>VLOOKUP($U$8,Akhlak!$A$4:$J$43,6,FALSE)</f>
        <v>8</v>
      </c>
      <c r="C38" s="202"/>
      <c r="D38" s="202">
        <f>VLOOKUP($U$8,Akhlak!$A$4:$J$43,5,FALSE)</f>
        <v>8</v>
      </c>
      <c r="E38" s="202"/>
      <c r="F38" s="202"/>
      <c r="G38" s="202"/>
      <c r="H38" s="202"/>
      <c r="I38" s="202"/>
      <c r="J38" s="202"/>
      <c r="K38" s="37">
        <f>VLOOKUP($U$8,Akhlak!$A$4:$J$43,4,FALSE)</f>
        <v>8</v>
      </c>
      <c r="L38" s="220"/>
      <c r="M38" s="90" t="str">
        <f>VLOOKUP(N38,Sheet1!$A$1:$B$93,2)</f>
        <v xml:space="preserve"> ثمان</v>
      </c>
      <c r="N38" s="68">
        <f>VLOOKUP($U$8,'Nilai Tahriri'!$A$2:$AJ$41,28,FALSE)</f>
        <v>8</v>
      </c>
      <c r="O38" s="97" t="s">
        <v>36</v>
      </c>
      <c r="P38" s="160" t="s">
        <v>126</v>
      </c>
      <c r="Q38" s="161"/>
      <c r="R38" s="62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25" t="s">
        <v>35</v>
      </c>
      <c r="C39" s="226"/>
      <c r="D39" s="226"/>
      <c r="E39" s="226"/>
      <c r="F39" s="226"/>
      <c r="G39" s="226"/>
      <c r="H39" s="226"/>
      <c r="I39" s="226"/>
      <c r="J39" s="226"/>
      <c r="K39" s="227"/>
      <c r="L39" s="220"/>
      <c r="M39" s="90" t="str">
        <f>VLOOKUP(N39,Sheet1!$A$1:$B$93,2)</f>
        <v xml:space="preserve"> ثمان</v>
      </c>
      <c r="N39" s="68">
        <f>VLOOKUP($U$8,'Nilai Tahriri'!$A$2:$AJ$41,29,FALSE)</f>
        <v>8</v>
      </c>
      <c r="O39" s="97" t="s">
        <v>40</v>
      </c>
      <c r="P39" s="160" t="s">
        <v>127</v>
      </c>
      <c r="Q39" s="161"/>
      <c r="R39" s="62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28" t="s">
        <v>37</v>
      </c>
      <c r="C40" s="229"/>
      <c r="D40" s="229" t="s">
        <v>38</v>
      </c>
      <c r="E40" s="229"/>
      <c r="F40" s="229"/>
      <c r="G40" s="229"/>
      <c r="H40" s="229"/>
      <c r="I40" s="229"/>
      <c r="J40" s="229"/>
      <c r="K40" s="36" t="s">
        <v>39</v>
      </c>
      <c r="L40" s="220"/>
      <c r="M40" s="90" t="str">
        <f>VLOOKUP(N40,Sheet1!$A$1:$B$93,2)</f>
        <v xml:space="preserve"> سبع و نصف</v>
      </c>
      <c r="N40" s="68">
        <f>VLOOKUP($U$8,'Nilai Tahriri'!$A$2:$AJ$41,30,FALSE)</f>
        <v>7.5</v>
      </c>
      <c r="O40" s="97" t="s">
        <v>43</v>
      </c>
      <c r="P40" s="160" t="s">
        <v>128</v>
      </c>
      <c r="Q40" s="161"/>
      <c r="R40" s="62">
        <v>32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91">
        <f>VLOOKUP($U$8,Akhlak!$A$4:$J$43,9,FALSE)</f>
        <v>0</v>
      </c>
      <c r="C41" s="192"/>
      <c r="D41" s="192">
        <f>VLOOKUP($U$8,Akhlak!$A$4:$J$43,8,FALSE)</f>
        <v>0</v>
      </c>
      <c r="E41" s="192"/>
      <c r="F41" s="192"/>
      <c r="G41" s="192"/>
      <c r="H41" s="192"/>
      <c r="I41" s="192"/>
      <c r="J41" s="192"/>
      <c r="K41" s="37">
        <f>VLOOKUP($U$8,Akhlak!$A$4:$J$43,7,FALSE)</f>
        <v>0</v>
      </c>
      <c r="L41" s="220"/>
      <c r="M41" s="90" t="str">
        <f>VLOOKUP(N41,Sheet1!$A$1:$B$93,2)</f>
        <v xml:space="preserve"> </v>
      </c>
      <c r="N41" s="68"/>
      <c r="O41" s="97" t="s">
        <v>44</v>
      </c>
      <c r="P41" s="160" t="s">
        <v>129</v>
      </c>
      <c r="Q41" s="161"/>
      <c r="R41" s="62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188" t="s">
        <v>41</v>
      </c>
      <c r="C42" s="189"/>
      <c r="D42" s="230" t="s">
        <v>42</v>
      </c>
      <c r="E42" s="230"/>
      <c r="F42" s="230"/>
      <c r="G42" s="230"/>
      <c r="H42" s="230"/>
      <c r="I42" s="230"/>
      <c r="J42" s="230"/>
      <c r="K42" s="231"/>
      <c r="L42" s="221"/>
      <c r="M42" s="90" t="str">
        <f>VLOOKUP(N42,Sheet1!$A$1:$B$93,2)</f>
        <v xml:space="preserve"> </v>
      </c>
      <c r="N42" s="68"/>
      <c r="O42" s="97" t="s">
        <v>46</v>
      </c>
      <c r="P42" s="160" t="s">
        <v>130</v>
      </c>
      <c r="Q42" s="161"/>
      <c r="R42" s="62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40">
        <f ca="1">VLOOKUP($U$8,'Nilai Syafahi'!$A$4:$Z$43,25,FALSE)</f>
        <v>10</v>
      </c>
      <c r="C43" s="241"/>
      <c r="D43" s="234">
        <f>VLOOKUP($U$8,'Nilai Syafahi'!$A$4:$Z$43,24,FALSE)</f>
        <v>5.7333333333333334</v>
      </c>
      <c r="E43" s="235"/>
      <c r="F43" s="235"/>
      <c r="G43" s="235"/>
      <c r="H43" s="235"/>
      <c r="I43" s="235"/>
      <c r="J43" s="236"/>
      <c r="K43" s="232">
        <f>VLOOKUP($U$8,'Nilai Syafahi'!$A$4:$Z$43,23,FALSE)</f>
        <v>258</v>
      </c>
      <c r="L43" s="220"/>
      <c r="M43" s="90" t="str">
        <f>VLOOKUP(N43,Sheet1!$A$1:$B$93,2)</f>
        <v xml:space="preserve"> </v>
      </c>
      <c r="N43" s="68"/>
      <c r="O43" s="97" t="s">
        <v>47</v>
      </c>
      <c r="P43" s="160" t="s">
        <v>131</v>
      </c>
      <c r="Q43" s="161"/>
      <c r="R43" s="62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42"/>
      <c r="C44" s="243"/>
      <c r="D44" s="237"/>
      <c r="E44" s="238"/>
      <c r="F44" s="238"/>
      <c r="G44" s="238"/>
      <c r="H44" s="238"/>
      <c r="I44" s="238"/>
      <c r="J44" s="239"/>
      <c r="K44" s="233"/>
      <c r="L44" s="220"/>
      <c r="M44" s="90" t="str">
        <f>VLOOKUP(N44,Sheet1!$A$1:$B$93,2)</f>
        <v xml:space="preserve"> ثمان و نصف</v>
      </c>
      <c r="N44" s="68">
        <f>VLOOKUP($U$8,'Nilai Tahriri'!$A$2:$AJ$41,34,FALSE)</f>
        <v>8.5</v>
      </c>
      <c r="O44" s="97" t="s">
        <v>135</v>
      </c>
      <c r="P44" s="160" t="s">
        <v>132</v>
      </c>
      <c r="Q44" s="161"/>
      <c r="R44" s="62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09" t="s">
        <v>45</v>
      </c>
      <c r="C45" s="210"/>
      <c r="D45" s="210"/>
      <c r="E45" s="210"/>
      <c r="F45" s="210"/>
      <c r="G45" s="210"/>
      <c r="H45" s="210"/>
      <c r="I45" s="210"/>
      <c r="J45" s="210"/>
      <c r="K45" s="210"/>
      <c r="L45" s="220"/>
      <c r="M45" s="90" t="str">
        <f>VLOOKUP(N45,Sheet1!$A$1:$B$93,2)</f>
        <v xml:space="preserve"> ست و نصف</v>
      </c>
      <c r="N45" s="68">
        <f>VLOOKUP($U$8,'Nilai Tahriri'!$A$2:$AJ$41,35,FALSE)</f>
        <v>6.5</v>
      </c>
      <c r="O45" s="97" t="s">
        <v>92</v>
      </c>
      <c r="P45" s="160" t="s">
        <v>133</v>
      </c>
      <c r="Q45" s="161"/>
      <c r="R45" s="62">
        <v>37</v>
      </c>
      <c r="S45" s="20"/>
      <c r="T45" s="20"/>
      <c r="U45" s="20"/>
      <c r="V45" s="186"/>
      <c r="W45" s="186"/>
      <c r="X45" s="186"/>
      <c r="Y45" s="20"/>
      <c r="Z45" s="20"/>
      <c r="AA45" s="20"/>
      <c r="AB45" s="20"/>
    </row>
    <row r="46" spans="2:28" ht="15.65" customHeight="1" x14ac:dyDescent="0.35">
      <c r="B46" s="203" t="str">
        <f>VLOOKUP($U$8,Akhlak!$A$4:$J$43,10,FALSE)</f>
        <v/>
      </c>
      <c r="C46" s="204"/>
      <c r="D46" s="204"/>
      <c r="E46" s="204"/>
      <c r="F46" s="204"/>
      <c r="G46" s="204"/>
      <c r="H46" s="204"/>
      <c r="I46" s="204"/>
      <c r="J46" s="204"/>
      <c r="K46" s="205"/>
      <c r="L46" s="220"/>
      <c r="M46" s="90" t="str">
        <f>VLOOKUP(N46,Sheet1!$A$1:$B$93,2)</f>
        <v xml:space="preserve"> </v>
      </c>
      <c r="N46" s="68"/>
      <c r="O46" s="97" t="s">
        <v>48</v>
      </c>
      <c r="P46" s="160" t="s">
        <v>134</v>
      </c>
      <c r="Q46" s="161"/>
      <c r="R46" s="62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06"/>
      <c r="C47" s="207"/>
      <c r="D47" s="207"/>
      <c r="E47" s="207"/>
      <c r="F47" s="207"/>
      <c r="G47" s="207"/>
      <c r="H47" s="207"/>
      <c r="I47" s="207"/>
      <c r="J47" s="207"/>
      <c r="K47" s="208"/>
      <c r="L47" s="220"/>
      <c r="M47" s="91" t="str">
        <f>VLOOKUP(N47,Sheet1!$A$1:$B$93,2)</f>
        <v xml:space="preserve"> </v>
      </c>
      <c r="N47" s="69"/>
      <c r="O47" s="97" t="s">
        <v>136</v>
      </c>
      <c r="P47" s="160" t="s">
        <v>53</v>
      </c>
      <c r="Q47" s="161"/>
      <c r="R47" s="81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182" t="s">
        <v>280</v>
      </c>
      <c r="C48" s="183"/>
      <c r="D48" s="183"/>
      <c r="E48" s="183"/>
      <c r="F48" s="183"/>
      <c r="G48" s="183"/>
      <c r="H48" s="183"/>
      <c r="I48" s="183"/>
      <c r="J48" s="183"/>
      <c r="K48" s="78" t="s">
        <v>184</v>
      </c>
      <c r="L48" s="222"/>
      <c r="M48" s="184">
        <f>VLOOKUP($U$8,'Nilai Tahriri'!$A$2:$AJ$41,36,FALSE)</f>
        <v>180.5</v>
      </c>
      <c r="N48" s="185" t="e">
        <f>VLOOKUP($U$8,'Nilai Tahriri'!$A$2:$AJ$41,41,FALSE)</f>
        <v>#REF!</v>
      </c>
      <c r="O48" s="185" t="e">
        <f>VLOOKUP($U$8,'Nilai Tahriri'!$A$2:$AJ$41,41,FALSE)</f>
        <v>#REF!</v>
      </c>
      <c r="P48" s="215" t="s">
        <v>27</v>
      </c>
      <c r="Q48" s="215"/>
      <c r="R48" s="216"/>
      <c r="S48" s="20"/>
      <c r="T48" s="20"/>
      <c r="U48" s="20"/>
      <c r="V48" s="20"/>
      <c r="W48" s="20"/>
      <c r="X48" s="20"/>
      <c r="Y48" s="20"/>
      <c r="Z48" s="187"/>
      <c r="AA48" s="187"/>
      <c r="AB48" s="187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7"/>
      <c r="D50" s="217"/>
      <c r="E50" s="217"/>
      <c r="F50" s="217"/>
      <c r="G50" s="217"/>
      <c r="H50" s="217"/>
      <c r="I50" s="217"/>
      <c r="J50" s="217"/>
      <c r="K50" s="217"/>
      <c r="L50" s="45"/>
      <c r="M50" s="214" t="str">
        <f>Biodata!$C$13</f>
        <v>١٩ من جمادى الآخر سنة ١٤٤٦ ه</v>
      </c>
      <c r="N50" s="214"/>
      <c r="O50" s="214"/>
      <c r="P50" s="214"/>
      <c r="Q50" s="218" t="s">
        <v>49</v>
      </c>
      <c r="R50" s="218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17"/>
      <c r="D51" s="217"/>
      <c r="E51" s="217"/>
      <c r="F51" s="217"/>
      <c r="G51" s="217"/>
      <c r="H51" s="217"/>
      <c r="I51" s="217"/>
      <c r="J51" s="217"/>
      <c r="K51" s="217"/>
      <c r="L51" s="45"/>
      <c r="M51" s="214" t="str">
        <f>Biodata!$C$14</f>
        <v>٢٠ من ديسمبر سنة ٢٠٢٤ م</v>
      </c>
      <c r="N51" s="214"/>
      <c r="O51" s="214"/>
      <c r="P51" s="214"/>
      <c r="Q51" s="218"/>
      <c r="R51" s="218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178" t="s">
        <v>51</v>
      </c>
      <c r="C53" s="178"/>
      <c r="D53" s="178"/>
      <c r="E53" s="178"/>
      <c r="F53" s="178"/>
      <c r="G53" s="178"/>
      <c r="H53" s="178"/>
      <c r="I53" s="178"/>
      <c r="J53" s="178"/>
      <c r="K53" s="178"/>
      <c r="L53" s="45"/>
      <c r="M53" s="44"/>
      <c r="N53" s="49"/>
      <c r="O53" s="177" t="s">
        <v>52</v>
      </c>
      <c r="P53" s="177"/>
      <c r="Q53" s="177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251" t="s">
        <v>161</v>
      </c>
      <c r="L54" s="251"/>
      <c r="M54" s="251"/>
      <c r="N54" s="251"/>
      <c r="O54" s="25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45"/>
      <c r="M56" s="44"/>
      <c r="N56" s="49"/>
      <c r="O56" s="179" t="str">
        <f>Biodata!$C$19</f>
        <v>الأستاذ زين العاشقين</v>
      </c>
      <c r="P56" s="179"/>
      <c r="Q56" s="179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176" t="str">
        <f>Biodata!$C$16</f>
        <v>كياهى الحاج شهاب المعي</v>
      </c>
      <c r="L58" s="176"/>
      <c r="M58" s="176"/>
      <c r="N58" s="176"/>
      <c r="O58" s="176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KPrK68JR403eXRNr62XyMByVn21ymSDX+zw6/Bp4mW0ux6qMeyOKeWiBelrnOEbI5lG2AYZS2MPpbAi90c3ZZA==" saltValue="Z7Z+KNifW23UJCUXu65KVw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6" sqref="E6:E45"/>
    </sheetView>
  </sheetViews>
  <sheetFormatPr defaultRowHeight="14.5" x14ac:dyDescent="0.35"/>
  <cols>
    <col min="1" max="1" width="5.26953125" customWidth="1"/>
    <col min="2" max="2" width="30.54296875" style="106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5">
      <c r="A2" s="100"/>
      <c r="B2" s="104"/>
      <c r="C2" s="100"/>
      <c r="D2" s="100"/>
      <c r="E2" s="100"/>
      <c r="F2" s="100"/>
      <c r="G2" s="100"/>
    </row>
    <row r="3" spans="1:7" ht="17.5" x14ac:dyDescent="0.35">
      <c r="A3" s="277" t="str">
        <f>Biodata!C4</f>
        <v>الخامس أ للبنين</v>
      </c>
      <c r="B3" s="277"/>
      <c r="C3" s="277"/>
      <c r="D3" s="277"/>
      <c r="E3" s="277"/>
      <c r="F3" s="277"/>
      <c r="G3" s="277"/>
    </row>
    <row r="5" spans="1:7" ht="22" customHeight="1" x14ac:dyDescent="0.35">
      <c r="A5" s="105" t="s">
        <v>76</v>
      </c>
      <c r="B5" s="105" t="s">
        <v>168</v>
      </c>
      <c r="C5" s="105" t="s">
        <v>54</v>
      </c>
      <c r="D5" s="105" t="s">
        <v>78</v>
      </c>
      <c r="E5" s="105" t="s">
        <v>171</v>
      </c>
      <c r="F5" s="105" t="s">
        <v>172</v>
      </c>
      <c r="G5" s="105" t="s">
        <v>170</v>
      </c>
    </row>
    <row r="6" spans="1:7" ht="18" customHeight="1" x14ac:dyDescent="0.35">
      <c r="A6" s="6">
        <v>1</v>
      </c>
      <c r="B6" s="109" t="str">
        <f>'Data Siswa'!B24</f>
        <v>WILDAN AGNA ABABIL</v>
      </c>
      <c r="C6" s="6" t="str">
        <f>'Data Siswa'!C24</f>
        <v>0436</v>
      </c>
      <c r="D6" s="7">
        <f>'Nilai Syafahi'!W26</f>
        <v>301.5</v>
      </c>
      <c r="E6" s="282">
        <f>'Nilai Syafahi'!X26</f>
        <v>6.7</v>
      </c>
      <c r="F6" s="281">
        <f ca="1">'Nilai Syafahi'!Y26</f>
        <v>1</v>
      </c>
      <c r="G6" s="7" t="str">
        <f>'Nilai Syafahi'!Z26</f>
        <v>-</v>
      </c>
    </row>
    <row r="7" spans="1:7" ht="18" customHeight="1" x14ac:dyDescent="0.35">
      <c r="A7" s="6">
        <v>2</v>
      </c>
      <c r="B7" s="109" t="str">
        <f>'Data Siswa'!B15</f>
        <v>MUHAMMAD FAKHRI</v>
      </c>
      <c r="C7" s="6" t="str">
        <f>'Data Siswa'!C15</f>
        <v>0427</v>
      </c>
      <c r="D7" s="7">
        <f>'Nilai Syafahi'!W17</f>
        <v>291</v>
      </c>
      <c r="E7" s="282">
        <f>'Nilai Syafahi'!X17</f>
        <v>6.4666666666666668</v>
      </c>
      <c r="F7" s="281">
        <f ca="1">'Nilai Syafahi'!Y17</f>
        <v>2</v>
      </c>
      <c r="G7" s="7" t="str">
        <f>'Nilai Syafahi'!Z17</f>
        <v>-</v>
      </c>
    </row>
    <row r="8" spans="1:7" ht="18" customHeight="1" x14ac:dyDescent="0.35">
      <c r="A8" s="6">
        <v>3</v>
      </c>
      <c r="B8" s="109" t="str">
        <f>'Data Siswa'!B10</f>
        <v>ILHAM HABIBIE</v>
      </c>
      <c r="C8" s="6" t="str">
        <f>'Data Siswa'!C10</f>
        <v>0422</v>
      </c>
      <c r="D8" s="7">
        <f>'Nilai Syafahi'!W12</f>
        <v>290</v>
      </c>
      <c r="E8" s="282">
        <f>'Nilai Syafahi'!X12</f>
        <v>6.4444444444444446</v>
      </c>
      <c r="F8" s="281">
        <f ca="1">'Nilai Syafahi'!Y12</f>
        <v>3</v>
      </c>
      <c r="G8" s="7" t="str">
        <f>'Nilai Syafahi'!Z12</f>
        <v>-</v>
      </c>
    </row>
    <row r="9" spans="1:7" ht="18" customHeight="1" x14ac:dyDescent="0.35">
      <c r="A9" s="6">
        <v>4</v>
      </c>
      <c r="B9" s="109" t="str">
        <f>'Data Siswa'!B7</f>
        <v>FATAHILLAH DANIAL</v>
      </c>
      <c r="C9" s="6" t="str">
        <f>'Data Siswa'!C7</f>
        <v>0419</v>
      </c>
      <c r="D9" s="7">
        <f>'Nilai Syafahi'!W9</f>
        <v>279.5</v>
      </c>
      <c r="E9" s="282">
        <f>'Nilai Syafahi'!X9</f>
        <v>6.2111111111111112</v>
      </c>
      <c r="F9" s="281">
        <f ca="1">'Nilai Syafahi'!Y9</f>
        <v>4</v>
      </c>
      <c r="G9" s="7" t="str">
        <f>'Nilai Syafahi'!Z9</f>
        <v>-</v>
      </c>
    </row>
    <row r="10" spans="1:7" ht="18" customHeight="1" x14ac:dyDescent="0.35">
      <c r="A10" s="6">
        <v>5</v>
      </c>
      <c r="B10" s="109" t="str">
        <f>'Data Siswa'!B13</f>
        <v>MUHAMMAD FADHILAH ALBARI</v>
      </c>
      <c r="C10" s="6" t="str">
        <f>'Data Siswa'!C13</f>
        <v>0425</v>
      </c>
      <c r="D10" s="7">
        <f>'Nilai Syafahi'!W15</f>
        <v>276</v>
      </c>
      <c r="E10" s="282">
        <f>'Nilai Syafahi'!X15</f>
        <v>6.1333333333333337</v>
      </c>
      <c r="F10" s="281">
        <f ca="1">'Nilai Syafahi'!Y15</f>
        <v>5</v>
      </c>
      <c r="G10" s="7" t="str">
        <f>'Nilai Syafahi'!Z15</f>
        <v>-</v>
      </c>
    </row>
    <row r="11" spans="1:7" ht="18" customHeight="1" x14ac:dyDescent="0.35">
      <c r="A11" s="6">
        <v>6</v>
      </c>
      <c r="B11" s="109" t="str">
        <f>'Data Siswa'!B16</f>
        <v>MUHAMMAD HAFIZ SIHABUDIN</v>
      </c>
      <c r="C11" s="6" t="str">
        <f>'Data Siswa'!C16</f>
        <v>0428</v>
      </c>
      <c r="D11" s="7">
        <f>'Nilai Syafahi'!W18</f>
        <v>271.5</v>
      </c>
      <c r="E11" s="282">
        <f>'Nilai Syafahi'!X18</f>
        <v>6.0333333333333332</v>
      </c>
      <c r="F11" s="281">
        <f ca="1">'Nilai Syafahi'!Y18</f>
        <v>6</v>
      </c>
      <c r="G11" s="7" t="str">
        <f>'Nilai Syafahi'!Z18</f>
        <v>-</v>
      </c>
    </row>
    <row r="12" spans="1:7" ht="18" customHeight="1" x14ac:dyDescent="0.35">
      <c r="A12" s="6">
        <v>7</v>
      </c>
      <c r="B12" s="109" t="str">
        <f>'Data Siswa'!B3</f>
        <v>AHMAD FAUZI</v>
      </c>
      <c r="C12" s="6" t="str">
        <f>'Data Siswa'!C3</f>
        <v>0415</v>
      </c>
      <c r="D12" s="7">
        <f>'Nilai Syafahi'!W5</f>
        <v>267</v>
      </c>
      <c r="E12" s="282">
        <f>'Nilai Syafahi'!X5</f>
        <v>5.9333333333333336</v>
      </c>
      <c r="F12" s="281">
        <f ca="1">'Nilai Syafahi'!Y5</f>
        <v>7</v>
      </c>
      <c r="G12" s="7" t="str">
        <f>'Nilai Syafahi'!Z5</f>
        <v>-</v>
      </c>
    </row>
    <row r="13" spans="1:7" ht="18" customHeight="1" x14ac:dyDescent="0.35">
      <c r="A13" s="6">
        <v>8</v>
      </c>
      <c r="B13" s="109" t="str">
        <f>'Data Siswa'!B9</f>
        <v>GILANG PAHRI AKBAR</v>
      </c>
      <c r="C13" s="6" t="str">
        <f>'Data Siswa'!C9</f>
        <v>0421</v>
      </c>
      <c r="D13" s="7">
        <f>'Nilai Syafahi'!W11</f>
        <v>262.5</v>
      </c>
      <c r="E13" s="282">
        <f>'Nilai Syafahi'!X11</f>
        <v>5.833333333333333</v>
      </c>
      <c r="F13" s="281">
        <f ca="1">'Nilai Syafahi'!Y11</f>
        <v>8</v>
      </c>
      <c r="G13" s="7" t="str">
        <f>'Nilai Syafahi'!Z11</f>
        <v>-</v>
      </c>
    </row>
    <row r="14" spans="1:7" ht="18" customHeight="1" x14ac:dyDescent="0.35">
      <c r="A14" s="6">
        <v>9</v>
      </c>
      <c r="B14" s="109" t="str">
        <f>'Data Siswa'!B18</f>
        <v>MUHAMMAD RHOMI FAHREZI</v>
      </c>
      <c r="C14" s="6" t="str">
        <f>'Data Siswa'!C18</f>
        <v>0430</v>
      </c>
      <c r="D14" s="7">
        <f>'Nilai Syafahi'!W20</f>
        <v>262</v>
      </c>
      <c r="E14" s="282">
        <f>'Nilai Syafahi'!X20</f>
        <v>5.822222222222222</v>
      </c>
      <c r="F14" s="281">
        <f ca="1">'Nilai Syafahi'!Y20</f>
        <v>9</v>
      </c>
      <c r="G14" s="7" t="str">
        <f>'Nilai Syafahi'!Z20</f>
        <v>-</v>
      </c>
    </row>
    <row r="15" spans="1:7" ht="18" customHeight="1" x14ac:dyDescent="0.35">
      <c r="A15" s="6">
        <v>10</v>
      </c>
      <c r="B15" s="109" t="str">
        <f>'Data Siswa'!B25</f>
        <v>ZEN KEMAL AISY</v>
      </c>
      <c r="C15" s="6" t="str">
        <f>'Data Siswa'!C25</f>
        <v>0437</v>
      </c>
      <c r="D15" s="7">
        <f>'Nilai Syafahi'!W27</f>
        <v>258</v>
      </c>
      <c r="E15" s="282">
        <f>'Nilai Syafahi'!X27</f>
        <v>5.7333333333333334</v>
      </c>
      <c r="F15" s="281">
        <f ca="1">'Nilai Syafahi'!Y27</f>
        <v>10</v>
      </c>
      <c r="G15" s="7" t="str">
        <f>'Nilai Syafahi'!Z27</f>
        <v>-</v>
      </c>
    </row>
    <row r="16" spans="1:7" ht="18" customHeight="1" x14ac:dyDescent="0.35">
      <c r="A16" s="6">
        <v>11</v>
      </c>
      <c r="B16" s="109" t="str">
        <f>'Data Siswa'!B8</f>
        <v>GIBRAN PRADANA</v>
      </c>
      <c r="C16" s="6" t="str">
        <f>'Data Siswa'!C8</f>
        <v>0420</v>
      </c>
      <c r="D16" s="7">
        <f>'Nilai Syafahi'!W10</f>
        <v>254.5</v>
      </c>
      <c r="E16" s="282">
        <f>'Nilai Syafahi'!X10</f>
        <v>5.6555555555555559</v>
      </c>
      <c r="F16" s="281">
        <f ca="1">'Nilai Syafahi'!Y10</f>
        <v>11</v>
      </c>
      <c r="G16" s="7" t="str">
        <f>'Nilai Syafahi'!Z10</f>
        <v>-</v>
      </c>
    </row>
    <row r="17" spans="1:7" ht="18" customHeight="1" x14ac:dyDescent="0.35">
      <c r="A17" s="6">
        <v>12</v>
      </c>
      <c r="B17" s="109" t="str">
        <f>'Data Siswa'!B17</f>
        <v>MUHAMMAD MUMU NAJMUDIN</v>
      </c>
      <c r="C17" s="6" t="str">
        <f>'Data Siswa'!C17</f>
        <v>0429</v>
      </c>
      <c r="D17" s="7">
        <f>'Nilai Syafahi'!W19</f>
        <v>254</v>
      </c>
      <c r="E17" s="282">
        <f>'Nilai Syafahi'!X19</f>
        <v>5.6444444444444448</v>
      </c>
      <c r="F17" s="281">
        <f ca="1">'Nilai Syafahi'!Y19</f>
        <v>12</v>
      </c>
      <c r="G17" s="7" t="str">
        <f>'Nilai Syafahi'!Z19</f>
        <v>-</v>
      </c>
    </row>
    <row r="18" spans="1:7" ht="18" customHeight="1" x14ac:dyDescent="0.35">
      <c r="A18" s="6">
        <v>13</v>
      </c>
      <c r="B18" s="109" t="str">
        <f>'Data Siswa'!B4</f>
        <v>AHMAD NUR NGALIM</v>
      </c>
      <c r="C18" s="6" t="str">
        <f>'Data Siswa'!C4</f>
        <v>0416</v>
      </c>
      <c r="D18" s="7">
        <f>'Nilai Syafahi'!W6</f>
        <v>253.6</v>
      </c>
      <c r="E18" s="282">
        <f>'Nilai Syafahi'!X6</f>
        <v>5.6355555555555554</v>
      </c>
      <c r="F18" s="281">
        <f ca="1">'Nilai Syafahi'!Y6</f>
        <v>13</v>
      </c>
      <c r="G18" s="7" t="str">
        <f>'Nilai Syafahi'!Z6</f>
        <v>-</v>
      </c>
    </row>
    <row r="19" spans="1:7" ht="18" customHeight="1" x14ac:dyDescent="0.35">
      <c r="A19" s="6">
        <v>14</v>
      </c>
      <c r="B19" s="109" t="str">
        <f>'Data Siswa'!B11</f>
        <v>MUHAMAD MARIO</v>
      </c>
      <c r="C19" s="6" t="str">
        <f>'Data Siswa'!C11</f>
        <v>0423</v>
      </c>
      <c r="D19" s="7">
        <f>'Nilai Syafahi'!W13</f>
        <v>252</v>
      </c>
      <c r="E19" s="282">
        <f>'Nilai Syafahi'!X13</f>
        <v>5.6</v>
      </c>
      <c r="F19" s="281">
        <f ca="1">'Nilai Syafahi'!Y13</f>
        <v>14</v>
      </c>
      <c r="G19" s="7" t="str">
        <f>'Nilai Syafahi'!Z13</f>
        <v>-</v>
      </c>
    </row>
    <row r="20" spans="1:7" ht="18" customHeight="1" x14ac:dyDescent="0.35">
      <c r="A20" s="6">
        <v>15</v>
      </c>
      <c r="B20" s="109" t="str">
        <f>'Data Siswa'!B14</f>
        <v>MUHAMMAD FAIZ FATHANNA'IM</v>
      </c>
      <c r="C20" s="6" t="str">
        <f>'Data Siswa'!C14</f>
        <v>0426</v>
      </c>
      <c r="D20" s="7">
        <f>'Nilai Syafahi'!W16</f>
        <v>251.5</v>
      </c>
      <c r="E20" s="282">
        <f>'Nilai Syafahi'!X16</f>
        <v>5.5888888888888886</v>
      </c>
      <c r="F20" s="281">
        <f ca="1">'Nilai Syafahi'!Y16</f>
        <v>15</v>
      </c>
      <c r="G20" s="7" t="str">
        <f>'Nilai Syafahi'!Z16</f>
        <v>-</v>
      </c>
    </row>
    <row r="21" spans="1:7" ht="18" customHeight="1" x14ac:dyDescent="0.35">
      <c r="A21" s="6">
        <v>16</v>
      </c>
      <c r="B21" s="109" t="str">
        <f>'Data Siswa'!B20</f>
        <v>MUHAMMAD WILDAN KAMIL</v>
      </c>
      <c r="C21" s="6" t="str">
        <f>'Data Siswa'!C20</f>
        <v>0432</v>
      </c>
      <c r="D21" s="7">
        <f>'Nilai Syafahi'!W22</f>
        <v>251.5</v>
      </c>
      <c r="E21" s="282">
        <f>'Nilai Syafahi'!X22</f>
        <v>5.5888888888888886</v>
      </c>
      <c r="F21" s="281">
        <f ca="1">'Nilai Syafahi'!Y22</f>
        <v>15</v>
      </c>
      <c r="G21" s="7" t="str">
        <f>'Nilai Syafahi'!Z22</f>
        <v>-</v>
      </c>
    </row>
    <row r="22" spans="1:7" ht="18" customHeight="1" x14ac:dyDescent="0.35">
      <c r="A22" s="6">
        <v>17</v>
      </c>
      <c r="B22" s="109" t="str">
        <f>'Data Siswa'!B22</f>
        <v>SAMSUL MA'ARIF</v>
      </c>
      <c r="C22" s="6" t="str">
        <f>'Data Siswa'!C22</f>
        <v>0434</v>
      </c>
      <c r="D22" s="7">
        <f>'Nilai Syafahi'!W24</f>
        <v>251.5</v>
      </c>
      <c r="E22" s="282">
        <f>'Nilai Syafahi'!X24</f>
        <v>5.5888888888888886</v>
      </c>
      <c r="F22" s="281">
        <f ca="1">'Nilai Syafahi'!Y24</f>
        <v>15</v>
      </c>
      <c r="G22" s="7" t="str">
        <f>'Nilai Syafahi'!Z24</f>
        <v>-</v>
      </c>
    </row>
    <row r="23" spans="1:7" ht="18" customHeight="1" x14ac:dyDescent="0.35">
      <c r="A23" s="6">
        <v>18</v>
      </c>
      <c r="B23" s="109" t="str">
        <f>'Data Siswa'!B2</f>
        <v>ADAM BAKRI</v>
      </c>
      <c r="C23" s="6" t="str">
        <f>'Data Siswa'!C2</f>
        <v>0414</v>
      </c>
      <c r="D23" s="7">
        <f>'Nilai Syafahi'!W4</f>
        <v>248.5</v>
      </c>
      <c r="E23" s="282">
        <f>'Nilai Syafahi'!X4</f>
        <v>5.5222222222222221</v>
      </c>
      <c r="F23" s="281">
        <f ca="1">'Nilai Syafahi'!Y4</f>
        <v>16</v>
      </c>
      <c r="G23" s="7" t="str">
        <f>'Nilai Syafahi'!Z4</f>
        <v>-</v>
      </c>
    </row>
    <row r="24" spans="1:7" ht="18" customHeight="1" x14ac:dyDescent="0.35">
      <c r="A24" s="6">
        <v>19</v>
      </c>
      <c r="B24" s="109" t="str">
        <f>'Data Siswa'!B12</f>
        <v>MUHAMMAD ARIEF RAHMAN</v>
      </c>
      <c r="C24" s="6" t="str">
        <f>'Data Siswa'!C12</f>
        <v>0424</v>
      </c>
      <c r="D24" s="7">
        <f>'Nilai Syafahi'!W14</f>
        <v>245.5</v>
      </c>
      <c r="E24" s="282">
        <f>'Nilai Syafahi'!X14</f>
        <v>5.4555555555555557</v>
      </c>
      <c r="F24" s="281">
        <f ca="1">'Nilai Syafahi'!Y14</f>
        <v>17</v>
      </c>
      <c r="G24" s="7" t="str">
        <f>'Nilai Syafahi'!Z14</f>
        <v>-</v>
      </c>
    </row>
    <row r="25" spans="1:7" ht="18" customHeight="1" x14ac:dyDescent="0.35">
      <c r="A25" s="6">
        <v>20</v>
      </c>
      <c r="B25" s="109" t="str">
        <f>'Data Siswa'!B21</f>
        <v>PANDU TRI KHUSMADEWANTARA</v>
      </c>
      <c r="C25" s="6" t="str">
        <f>'Data Siswa'!C21</f>
        <v>0433</v>
      </c>
      <c r="D25" s="7">
        <f>'Nilai Syafahi'!W23</f>
        <v>245.5</v>
      </c>
      <c r="E25" s="282">
        <f>'Nilai Syafahi'!X23</f>
        <v>5.4555555555555557</v>
      </c>
      <c r="F25" s="281">
        <f ca="1">'Nilai Syafahi'!Y23</f>
        <v>17</v>
      </c>
      <c r="G25" s="7" t="str">
        <f>'Nilai Syafahi'!Z23</f>
        <v>-</v>
      </c>
    </row>
    <row r="26" spans="1:7" ht="18" customHeight="1" x14ac:dyDescent="0.35">
      <c r="A26" s="6">
        <v>21</v>
      </c>
      <c r="B26" s="109" t="str">
        <f>'Data Siswa'!B5</f>
        <v>BAYU DIRGANTARA</v>
      </c>
      <c r="C26" s="6" t="str">
        <f>'Data Siswa'!C5</f>
        <v>0417</v>
      </c>
      <c r="D26" s="7">
        <f>'Nilai Syafahi'!W7</f>
        <v>243</v>
      </c>
      <c r="E26" s="282">
        <f>'Nilai Syafahi'!X7</f>
        <v>5.4</v>
      </c>
      <c r="F26" s="281">
        <f ca="1">'Nilai Syafahi'!Y7</f>
        <v>18</v>
      </c>
      <c r="G26" s="7" t="str">
        <f>'Nilai Syafahi'!Z7</f>
        <v>-</v>
      </c>
    </row>
    <row r="27" spans="1:7" ht="18" customHeight="1" x14ac:dyDescent="0.35">
      <c r="A27" s="6">
        <v>22</v>
      </c>
      <c r="B27" s="109" t="str">
        <f>'Data Siswa'!B23</f>
        <v>SYAGHGHAF HAJID ABYAN</v>
      </c>
      <c r="C27" s="6" t="str">
        <f>'Data Siswa'!C23</f>
        <v>0435</v>
      </c>
      <c r="D27" s="7">
        <f>'Nilai Syafahi'!W25</f>
        <v>236</v>
      </c>
      <c r="E27" s="282">
        <f>'Nilai Syafahi'!X25</f>
        <v>5.9</v>
      </c>
      <c r="F27" s="281">
        <f ca="1">'Nilai Syafahi'!Y25</f>
        <v>19</v>
      </c>
      <c r="G27" s="7" t="str">
        <f>'Nilai Syafahi'!Z25</f>
        <v>-</v>
      </c>
    </row>
    <row r="28" spans="1:7" ht="18" customHeight="1" x14ac:dyDescent="0.35">
      <c r="A28" s="6">
        <v>23</v>
      </c>
      <c r="B28" s="109" t="str">
        <f>'Data Siswa'!B19</f>
        <v>MUHAMMAD RIZKI FAHREZA</v>
      </c>
      <c r="C28" s="6" t="str">
        <f>'Data Siswa'!C19</f>
        <v>0431</v>
      </c>
      <c r="D28" s="7">
        <f>'Nilai Syafahi'!W21</f>
        <v>219</v>
      </c>
      <c r="E28" s="282">
        <f>'Nilai Syafahi'!X21</f>
        <v>5.4749999999999996</v>
      </c>
      <c r="F28" s="281">
        <f ca="1">'Nilai Syafahi'!Y21</f>
        <v>20</v>
      </c>
      <c r="G28" s="7" t="str">
        <f>'Nilai Syafahi'!Z21</f>
        <v>-</v>
      </c>
    </row>
    <row r="29" spans="1:7" ht="18" customHeight="1" x14ac:dyDescent="0.35">
      <c r="A29" s="6">
        <v>24</v>
      </c>
      <c r="B29" s="109" t="str">
        <f>'Data Siswa'!B6</f>
        <v>DIAS PURNAMA YASA</v>
      </c>
      <c r="C29" s="6" t="str">
        <f>'Data Siswa'!C6</f>
        <v>0418</v>
      </c>
      <c r="D29" s="7">
        <f>'Nilai Syafahi'!W8</f>
        <v>126</v>
      </c>
      <c r="E29" s="282">
        <f>'Nilai Syafahi'!X8</f>
        <v>5.04</v>
      </c>
      <c r="F29" s="281">
        <f ca="1">'Nilai Syafahi'!Y8</f>
        <v>21</v>
      </c>
      <c r="G29" s="7" t="str">
        <f>'Nilai Syafahi'!Z8</f>
        <v>-</v>
      </c>
    </row>
    <row r="30" spans="1:7" ht="18" customHeight="1" x14ac:dyDescent="0.35">
      <c r="A30" s="6">
        <v>25</v>
      </c>
      <c r="B30" s="109">
        <f>'Data Siswa'!B26</f>
        <v>0</v>
      </c>
      <c r="C30" s="6">
        <f>'Data Siswa'!C26</f>
        <v>0</v>
      </c>
      <c r="D30" s="7">
        <f>'Nilai Syafahi'!W28</f>
        <v>0</v>
      </c>
      <c r="E30" s="282" t="e">
        <f>'Nilai Syafahi'!X28</f>
        <v>#DIV/0!</v>
      </c>
      <c r="F30" s="281">
        <f ca="1">'Nilai Syafahi'!Y28</f>
        <v>22</v>
      </c>
      <c r="G30" s="7" t="str">
        <f>'Nilai Syafahi'!Z28</f>
        <v>-</v>
      </c>
    </row>
    <row r="31" spans="1:7" ht="18" customHeight="1" x14ac:dyDescent="0.35">
      <c r="A31" s="6">
        <v>26</v>
      </c>
      <c r="B31" s="109">
        <f>'Data Siswa'!B27</f>
        <v>0</v>
      </c>
      <c r="C31" s="6">
        <f>'Data Siswa'!C27</f>
        <v>0</v>
      </c>
      <c r="D31" s="7">
        <f>'Nilai Syafahi'!W29</f>
        <v>0</v>
      </c>
      <c r="E31" s="282" t="e">
        <f>'Nilai Syafahi'!X29</f>
        <v>#DIV/0!</v>
      </c>
      <c r="F31" s="281">
        <f ca="1">'Nilai Syafahi'!Y29</f>
        <v>22</v>
      </c>
      <c r="G31" s="7" t="str">
        <f>'Nilai Syafahi'!Z29</f>
        <v>-</v>
      </c>
    </row>
    <row r="32" spans="1:7" ht="18" customHeight="1" x14ac:dyDescent="0.35">
      <c r="A32" s="6">
        <v>27</v>
      </c>
      <c r="B32" s="109">
        <f>'Data Siswa'!B28</f>
        <v>0</v>
      </c>
      <c r="C32" s="6">
        <f>'Data Siswa'!C28</f>
        <v>0</v>
      </c>
      <c r="D32" s="7">
        <f>'Nilai Syafahi'!W30</f>
        <v>0</v>
      </c>
      <c r="E32" s="282" t="e">
        <f>'Nilai Syafahi'!X30</f>
        <v>#DIV/0!</v>
      </c>
      <c r="F32" s="281">
        <f ca="1">'Nilai Syafahi'!Y30</f>
        <v>22</v>
      </c>
      <c r="G32" s="7" t="str">
        <f>'Nilai Syafahi'!Z30</f>
        <v>-</v>
      </c>
    </row>
    <row r="33" spans="1:7" ht="18" customHeight="1" x14ac:dyDescent="0.35">
      <c r="A33" s="6">
        <v>28</v>
      </c>
      <c r="B33" s="109">
        <f>'Data Siswa'!B29</f>
        <v>0</v>
      </c>
      <c r="C33" s="6">
        <f>'Data Siswa'!C29</f>
        <v>0</v>
      </c>
      <c r="D33" s="7">
        <f>'Nilai Syafahi'!W31</f>
        <v>0</v>
      </c>
      <c r="E33" s="282" t="e">
        <f>'Nilai Syafahi'!X31</f>
        <v>#DIV/0!</v>
      </c>
      <c r="F33" s="281">
        <f ca="1">'Nilai Syafahi'!Y31</f>
        <v>22</v>
      </c>
      <c r="G33" s="7" t="str">
        <f>'Nilai Syafahi'!Z31</f>
        <v>-</v>
      </c>
    </row>
    <row r="34" spans="1:7" ht="18" customHeight="1" x14ac:dyDescent="0.35">
      <c r="A34" s="6">
        <v>29</v>
      </c>
      <c r="B34" s="109">
        <f>'Data Siswa'!B30</f>
        <v>0</v>
      </c>
      <c r="C34" s="6">
        <f>'Data Siswa'!C30</f>
        <v>0</v>
      </c>
      <c r="D34" s="7">
        <f>'Nilai Syafahi'!W32</f>
        <v>0</v>
      </c>
      <c r="E34" s="282" t="e">
        <f>'Nilai Syafahi'!X32</f>
        <v>#DIV/0!</v>
      </c>
      <c r="F34" s="281">
        <f ca="1">'Nilai Syafahi'!Y32</f>
        <v>22</v>
      </c>
      <c r="G34" s="7" t="str">
        <f>'Nilai Syafahi'!Z32</f>
        <v>-</v>
      </c>
    </row>
    <row r="35" spans="1:7" ht="18" customHeight="1" x14ac:dyDescent="0.35">
      <c r="A35" s="6">
        <v>30</v>
      </c>
      <c r="B35" s="109">
        <f>'Data Siswa'!B31</f>
        <v>0</v>
      </c>
      <c r="C35" s="6">
        <f>'Data Siswa'!C31</f>
        <v>0</v>
      </c>
      <c r="D35" s="7">
        <f>'Nilai Syafahi'!W33</f>
        <v>0</v>
      </c>
      <c r="E35" s="282" t="e">
        <f>'Nilai Syafahi'!X33</f>
        <v>#DIV/0!</v>
      </c>
      <c r="F35" s="281">
        <f ca="1">'Nilai Syafahi'!Y33</f>
        <v>22</v>
      </c>
      <c r="G35" s="7" t="str">
        <f>'Nilai Syafahi'!Z33</f>
        <v>-</v>
      </c>
    </row>
    <row r="36" spans="1:7" ht="18" customHeight="1" x14ac:dyDescent="0.35">
      <c r="A36" s="6">
        <v>31</v>
      </c>
      <c r="B36" s="109">
        <f>'Data Siswa'!B32</f>
        <v>0</v>
      </c>
      <c r="C36" s="6">
        <f>'Data Siswa'!C32</f>
        <v>0</v>
      </c>
      <c r="D36" s="7">
        <f>'Nilai Syafahi'!W34</f>
        <v>0</v>
      </c>
      <c r="E36" s="282" t="e">
        <f>'Nilai Syafahi'!X34</f>
        <v>#DIV/0!</v>
      </c>
      <c r="F36" s="281">
        <f ca="1">'Nilai Syafahi'!Y34</f>
        <v>22</v>
      </c>
      <c r="G36" s="7" t="str">
        <f>'Nilai Syafahi'!Z34</f>
        <v>-</v>
      </c>
    </row>
    <row r="37" spans="1:7" ht="18" customHeight="1" x14ac:dyDescent="0.35">
      <c r="A37" s="6">
        <v>32</v>
      </c>
      <c r="B37" s="109">
        <f>'Data Siswa'!B33</f>
        <v>0</v>
      </c>
      <c r="C37" s="6">
        <f>'Data Siswa'!C33</f>
        <v>0</v>
      </c>
      <c r="D37" s="7">
        <f>'Nilai Syafahi'!W35</f>
        <v>0</v>
      </c>
      <c r="E37" s="282" t="e">
        <f>'Nilai Syafahi'!X35</f>
        <v>#DIV/0!</v>
      </c>
      <c r="F37" s="281">
        <f ca="1">'Nilai Syafahi'!Y35</f>
        <v>22</v>
      </c>
      <c r="G37" s="7" t="str">
        <f>'Nilai Syafahi'!Z35</f>
        <v>-</v>
      </c>
    </row>
    <row r="38" spans="1:7" ht="18" customHeight="1" x14ac:dyDescent="0.35">
      <c r="A38" s="6">
        <v>33</v>
      </c>
      <c r="B38" s="109">
        <f>'Data Siswa'!B34</f>
        <v>0</v>
      </c>
      <c r="C38" s="6">
        <f>'Data Siswa'!C34</f>
        <v>0</v>
      </c>
      <c r="D38" s="7">
        <f>'Nilai Syafahi'!W36</f>
        <v>0</v>
      </c>
      <c r="E38" s="282" t="e">
        <f>'Nilai Syafahi'!X36</f>
        <v>#DIV/0!</v>
      </c>
      <c r="F38" s="281">
        <f ca="1">'Nilai Syafahi'!Y36</f>
        <v>22</v>
      </c>
      <c r="G38" s="7" t="str">
        <f>'Nilai Syafahi'!Z36</f>
        <v>-</v>
      </c>
    </row>
    <row r="39" spans="1:7" ht="18" customHeight="1" x14ac:dyDescent="0.35">
      <c r="A39" s="6">
        <v>34</v>
      </c>
      <c r="B39" s="109">
        <f>'Data Siswa'!B35</f>
        <v>0</v>
      </c>
      <c r="C39" s="6">
        <f>'Data Siswa'!C35</f>
        <v>0</v>
      </c>
      <c r="D39" s="7">
        <f>'Nilai Syafahi'!W37</f>
        <v>0</v>
      </c>
      <c r="E39" s="282" t="e">
        <f>'Nilai Syafahi'!X37</f>
        <v>#DIV/0!</v>
      </c>
      <c r="F39" s="281">
        <f ca="1">'Nilai Syafahi'!Y37</f>
        <v>22</v>
      </c>
      <c r="G39" s="7" t="str">
        <f>'Nilai Syafahi'!Z37</f>
        <v>-</v>
      </c>
    </row>
    <row r="40" spans="1:7" ht="18" customHeight="1" x14ac:dyDescent="0.35">
      <c r="A40" s="6">
        <v>35</v>
      </c>
      <c r="B40" s="109">
        <f>'Data Siswa'!B36</f>
        <v>0</v>
      </c>
      <c r="C40" s="6">
        <f>'Data Siswa'!C36</f>
        <v>0</v>
      </c>
      <c r="D40" s="7">
        <f>'Nilai Syafahi'!W38</f>
        <v>0</v>
      </c>
      <c r="E40" s="282" t="e">
        <f>'Nilai Syafahi'!X38</f>
        <v>#DIV/0!</v>
      </c>
      <c r="F40" s="281">
        <f ca="1">'Nilai Syafahi'!Y38</f>
        <v>22</v>
      </c>
      <c r="G40" s="7" t="str">
        <f>'Nilai Syafahi'!Z38</f>
        <v>-</v>
      </c>
    </row>
    <row r="41" spans="1:7" ht="18" customHeight="1" x14ac:dyDescent="0.35">
      <c r="A41" s="6">
        <v>36</v>
      </c>
      <c r="B41" s="109">
        <f>'Data Siswa'!B37</f>
        <v>0</v>
      </c>
      <c r="C41" s="6">
        <f>'Data Siswa'!C37</f>
        <v>0</v>
      </c>
      <c r="D41" s="7">
        <f>'Nilai Syafahi'!W39</f>
        <v>0</v>
      </c>
      <c r="E41" s="282" t="e">
        <f>'Nilai Syafahi'!X39</f>
        <v>#DIV/0!</v>
      </c>
      <c r="F41" s="281">
        <f ca="1">'Nilai Syafahi'!Y39</f>
        <v>22</v>
      </c>
      <c r="G41" s="7" t="str">
        <f>'Nilai Syafahi'!Z39</f>
        <v>-</v>
      </c>
    </row>
    <row r="42" spans="1:7" ht="18" customHeight="1" x14ac:dyDescent="0.35">
      <c r="A42" s="6">
        <v>37</v>
      </c>
      <c r="B42" s="109">
        <f>'Data Siswa'!B38</f>
        <v>0</v>
      </c>
      <c r="C42" s="6">
        <f>'Data Siswa'!C38</f>
        <v>0</v>
      </c>
      <c r="D42" s="7">
        <f>'Nilai Syafahi'!W40</f>
        <v>0</v>
      </c>
      <c r="E42" s="282" t="e">
        <f>'Nilai Syafahi'!X40</f>
        <v>#DIV/0!</v>
      </c>
      <c r="F42" s="281">
        <f ca="1">'Nilai Syafahi'!Y40</f>
        <v>22</v>
      </c>
      <c r="G42" s="7" t="str">
        <f>'Nilai Syafahi'!Z40</f>
        <v>-</v>
      </c>
    </row>
    <row r="43" spans="1:7" ht="18" customHeight="1" x14ac:dyDescent="0.35">
      <c r="A43" s="6">
        <v>38</v>
      </c>
      <c r="B43" s="109">
        <f>'Data Siswa'!B39</f>
        <v>0</v>
      </c>
      <c r="C43" s="6">
        <f>'Data Siswa'!C39</f>
        <v>0</v>
      </c>
      <c r="D43" s="7">
        <f>'Nilai Syafahi'!W41</f>
        <v>0</v>
      </c>
      <c r="E43" s="282" t="e">
        <f>'Nilai Syafahi'!X41</f>
        <v>#DIV/0!</v>
      </c>
      <c r="F43" s="281">
        <f ca="1">'Nilai Syafahi'!Y41</f>
        <v>22</v>
      </c>
      <c r="G43" s="7" t="str">
        <f>'Nilai Syafahi'!Z41</f>
        <v>-</v>
      </c>
    </row>
    <row r="44" spans="1:7" ht="18" customHeight="1" x14ac:dyDescent="0.35">
      <c r="A44" s="6">
        <v>39</v>
      </c>
      <c r="B44" s="109">
        <f>'Data Siswa'!B40</f>
        <v>0</v>
      </c>
      <c r="C44" s="6">
        <f>'Data Siswa'!C40</f>
        <v>0</v>
      </c>
      <c r="D44" s="7">
        <f>'Nilai Syafahi'!W42</f>
        <v>0</v>
      </c>
      <c r="E44" s="282" t="e">
        <f>'Nilai Syafahi'!X42</f>
        <v>#DIV/0!</v>
      </c>
      <c r="F44" s="281">
        <f ca="1">'Nilai Syafahi'!Y42</f>
        <v>22</v>
      </c>
      <c r="G44" s="7" t="str">
        <f>'Nilai Syafahi'!Z42</f>
        <v>-</v>
      </c>
    </row>
    <row r="45" spans="1:7" ht="18" customHeight="1" x14ac:dyDescent="0.35">
      <c r="A45" s="6">
        <v>40</v>
      </c>
      <c r="B45" s="109">
        <f>'Data Siswa'!B41</f>
        <v>0</v>
      </c>
      <c r="C45" s="6">
        <f>'Data Siswa'!C41</f>
        <v>0</v>
      </c>
      <c r="D45" s="7">
        <f>'Nilai Syafahi'!W43</f>
        <v>0</v>
      </c>
      <c r="E45" s="282" t="e">
        <f>'Nilai Syafahi'!X43</f>
        <v>#DIV/0!</v>
      </c>
      <c r="F45" s="281">
        <f ca="1">'Nilai Syafahi'!Y43</f>
        <v>22</v>
      </c>
      <c r="G45" s="7" t="str">
        <f>'Nilai Syafahi'!Z43</f>
        <v>-</v>
      </c>
    </row>
    <row r="47" spans="1:7" ht="18.5" x14ac:dyDescent="0.45">
      <c r="D47" s="107"/>
      <c r="E47" s="278" t="s">
        <v>163</v>
      </c>
      <c r="F47" s="278"/>
      <c r="G47" s="278"/>
    </row>
    <row r="48" spans="1:7" ht="18.5" x14ac:dyDescent="0.45">
      <c r="D48" s="107"/>
      <c r="E48" s="108"/>
      <c r="F48" s="108"/>
    </row>
    <row r="49" spans="4:7" ht="18.5" x14ac:dyDescent="0.45">
      <c r="D49" s="107"/>
      <c r="E49" s="108"/>
      <c r="F49" s="108"/>
    </row>
    <row r="50" spans="4:7" ht="18.5" x14ac:dyDescent="0.45">
      <c r="D50" s="107"/>
      <c r="E50" s="279" t="str">
        <f>Biodata!C19</f>
        <v>الأستاذ زين العاشقين</v>
      </c>
      <c r="F50" s="279"/>
      <c r="G50" s="279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2024-12-19T10:09:32Z</cp:lastPrinted>
  <dcterms:created xsi:type="dcterms:W3CDTF">2019-11-28T05:18:02Z</dcterms:created>
  <dcterms:modified xsi:type="dcterms:W3CDTF">2024-12-19T10:41:44Z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