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B8230DFF-73E1-432E-ACEA-D22B1E248DBB}" xr6:coauthVersionLast="47" xr6:coauthVersionMax="47" xr10:uidLastSave="{00000000-0000-0000-0000-000000000000}"/>
  <bookViews>
    <workbookView xWindow="1900" yWindow="1900" windowWidth="14400" windowHeight="727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B7" i="8"/>
  <c r="K3" i="1" s="1"/>
  <c r="E50" i="12" l="1"/>
  <c r="B25" i="12"/>
  <c r="C25" i="12"/>
  <c r="B24" i="12"/>
  <c r="C24" i="12"/>
  <c r="B23" i="12"/>
  <c r="C23" i="12"/>
  <c r="B26" i="12"/>
  <c r="C26" i="12"/>
  <c r="B9" i="12"/>
  <c r="C9" i="12"/>
  <c r="B10" i="12"/>
  <c r="C10" i="12"/>
  <c r="B11" i="12"/>
  <c r="C11" i="12"/>
  <c r="B21" i="12"/>
  <c r="C21" i="12"/>
  <c r="B12" i="12"/>
  <c r="C12" i="12"/>
  <c r="B16" i="12"/>
  <c r="C16" i="12"/>
  <c r="B28" i="12"/>
  <c r="C28" i="12"/>
  <c r="B6" i="12"/>
  <c r="C6" i="12"/>
  <c r="B19" i="12"/>
  <c r="C19" i="12"/>
  <c r="B7" i="12"/>
  <c r="C7" i="12"/>
  <c r="B8" i="12"/>
  <c r="C8" i="12"/>
  <c r="B17" i="12"/>
  <c r="C17" i="12"/>
  <c r="B15" i="12"/>
  <c r="C15" i="12"/>
  <c r="B13" i="12"/>
  <c r="C13" i="12"/>
  <c r="B20" i="12"/>
  <c r="C20" i="12"/>
  <c r="B22" i="12"/>
  <c r="C22" i="12"/>
  <c r="B27" i="12"/>
  <c r="C27" i="12"/>
  <c r="B14" i="12"/>
  <c r="C14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18" i="12"/>
  <c r="C18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5" i="12" s="1"/>
  <c r="X6" i="4"/>
  <c r="E24" i="12" s="1"/>
  <c r="X7" i="4"/>
  <c r="E23" i="12" s="1"/>
  <c r="X8" i="4"/>
  <c r="E26" i="12" s="1"/>
  <c r="X9" i="4"/>
  <c r="E9" i="12" s="1"/>
  <c r="X10" i="4"/>
  <c r="E10" i="12" s="1"/>
  <c r="X11" i="4"/>
  <c r="E11" i="12" s="1"/>
  <c r="X12" i="4"/>
  <c r="E21" i="12" s="1"/>
  <c r="X13" i="4"/>
  <c r="E12" i="12" s="1"/>
  <c r="X14" i="4"/>
  <c r="E16" i="12" s="1"/>
  <c r="X15" i="4"/>
  <c r="E28" i="12" s="1"/>
  <c r="X16" i="4"/>
  <c r="E6" i="12" s="1"/>
  <c r="X17" i="4"/>
  <c r="E19" i="12" s="1"/>
  <c r="X18" i="4"/>
  <c r="E7" i="12" s="1"/>
  <c r="X19" i="4"/>
  <c r="E8" i="12" s="1"/>
  <c r="X20" i="4"/>
  <c r="E17" i="12" s="1"/>
  <c r="X21" i="4"/>
  <c r="E15" i="12" s="1"/>
  <c r="X22" i="4"/>
  <c r="E13" i="12" s="1"/>
  <c r="X23" i="4"/>
  <c r="E20" i="12" s="1"/>
  <c r="X24" i="4"/>
  <c r="E22" i="12" s="1"/>
  <c r="X25" i="4"/>
  <c r="E27" i="12" s="1"/>
  <c r="X26" i="4"/>
  <c r="E14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18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4" i="12"/>
  <c r="G35" i="12"/>
  <c r="G34" i="12"/>
  <c r="G33" i="12"/>
  <c r="G32" i="12"/>
  <c r="G31" i="12"/>
  <c r="G30" i="12"/>
  <c r="G29" i="12"/>
  <c r="G27" i="12"/>
  <c r="G22" i="12"/>
  <c r="G20" i="12"/>
  <c r="G13" i="12"/>
  <c r="G15" i="12"/>
  <c r="G17" i="12"/>
  <c r="G8" i="12"/>
  <c r="G7" i="12"/>
  <c r="G19" i="12"/>
  <c r="G6" i="12"/>
  <c r="G28" i="12"/>
  <c r="G16" i="12"/>
  <c r="G12" i="12"/>
  <c r="G21" i="12"/>
  <c r="G11" i="12"/>
  <c r="G10" i="12"/>
  <c r="G9" i="12"/>
  <c r="G26" i="12"/>
  <c r="G23" i="12"/>
  <c r="G24" i="12"/>
  <c r="G25" i="12"/>
  <c r="G18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 s="1"/>
  <c r="D13" i="12" s="1"/>
  <c r="C20" i="3"/>
  <c r="B20" i="3"/>
  <c r="AJ19" i="3"/>
  <c r="W21" i="4" s="1"/>
  <c r="D15" i="12" s="1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W14" i="4" s="1"/>
  <c r="D16" i="12" s="1"/>
  <c r="C12" i="3"/>
  <c r="B12" i="3"/>
  <c r="AJ11" i="3"/>
  <c r="W13" i="4" s="1"/>
  <c r="D12" i="12" s="1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W6" i="4" s="1"/>
  <c r="D24" i="12" s="1"/>
  <c r="C4" i="3"/>
  <c r="B4" i="3"/>
  <c r="AJ3" i="3"/>
  <c r="C3" i="3"/>
  <c r="B3" i="3"/>
  <c r="AJ2" i="3"/>
  <c r="C2" i="3"/>
  <c r="B2" i="3"/>
  <c r="A2" i="3"/>
  <c r="B4" i="8"/>
  <c r="M3" i="1" s="1"/>
  <c r="B1" i="1" l="1"/>
  <c r="C28" i="1"/>
  <c r="B28" i="1" s="1"/>
  <c r="D43" i="1"/>
  <c r="N10" i="1"/>
  <c r="M10" i="1" s="1"/>
  <c r="N43" i="1"/>
  <c r="N41" i="1"/>
  <c r="N42" i="1"/>
  <c r="M42" i="1" s="1"/>
  <c r="W8" i="4"/>
  <c r="D26" i="12" s="1"/>
  <c r="W16" i="4"/>
  <c r="D6" i="12" s="1"/>
  <c r="W24" i="4"/>
  <c r="D22" i="12" s="1"/>
  <c r="W32" i="4"/>
  <c r="D34" i="12" s="1"/>
  <c r="W40" i="4"/>
  <c r="D42" i="12" s="1"/>
  <c r="W17" i="4"/>
  <c r="D19" i="12" s="1"/>
  <c r="W25" i="4"/>
  <c r="D27" i="12" s="1"/>
  <c r="W33" i="4"/>
  <c r="D35" i="12" s="1"/>
  <c r="W41" i="4"/>
  <c r="D43" i="12" s="1"/>
  <c r="W11" i="4"/>
  <c r="D11" i="12" s="1"/>
  <c r="W19" i="4"/>
  <c r="D8" i="12" s="1"/>
  <c r="W27" i="4"/>
  <c r="D29" i="12" s="1"/>
  <c r="W35" i="4"/>
  <c r="D37" i="12" s="1"/>
  <c r="W43" i="4"/>
  <c r="D45" i="12" s="1"/>
  <c r="W10" i="4"/>
  <c r="D10" i="12" s="1"/>
  <c r="W18" i="4"/>
  <c r="D7" i="12" s="1"/>
  <c r="W26" i="4"/>
  <c r="D14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1" i="12" s="1"/>
  <c r="W20" i="4"/>
  <c r="D17" i="12" s="1"/>
  <c r="W7" i="4"/>
  <c r="D23" i="12" s="1"/>
  <c r="W15" i="4"/>
  <c r="D28" i="12" s="1"/>
  <c r="W23" i="4"/>
  <c r="D20" i="12" s="1"/>
  <c r="W31" i="4"/>
  <c r="D33" i="12" s="1"/>
  <c r="W39" i="4"/>
  <c r="D41" i="12" s="1"/>
  <c r="W9" i="4"/>
  <c r="D9" i="12" s="1"/>
  <c r="W5" i="4"/>
  <c r="D25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M39" i="1"/>
  <c r="N20" i="1"/>
  <c r="M20" i="1" s="1"/>
  <c r="M38" i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18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8" i="12" s="1"/>
  <c r="Y13" i="4" a="1"/>
  <c r="Y13" i="4" s="1"/>
  <c r="F12" i="12" s="1"/>
  <c r="Y35" i="4" a="1"/>
  <c r="Y35" i="4" s="1"/>
  <c r="F37" i="12" s="1"/>
  <c r="Y42" i="4" a="1"/>
  <c r="Y42" i="4" s="1"/>
  <c r="F44" i="12" s="1"/>
  <c r="Y26" i="4" a="1"/>
  <c r="Y26" i="4" s="1"/>
  <c r="F14" i="12" s="1"/>
  <c r="Y30" i="4" a="1"/>
  <c r="Y30" i="4" s="1"/>
  <c r="F32" i="12" s="1"/>
  <c r="Y37" i="4" a="1"/>
  <c r="Y37" i="4" s="1"/>
  <c r="F39" i="12" s="1"/>
  <c r="Y8" i="4" a="1"/>
  <c r="Y8" i="4" s="1"/>
  <c r="F26" i="12" s="1"/>
  <c r="Y14" i="4" a="1"/>
  <c r="Y14" i="4" s="1"/>
  <c r="F16" i="12" s="1"/>
  <c r="Y9" i="4" a="1"/>
  <c r="Y9" i="4" s="1"/>
  <c r="F9" i="12" s="1"/>
  <c r="Y10" i="4" a="1"/>
  <c r="Y10" i="4" s="1"/>
  <c r="F10" i="12" s="1"/>
  <c r="Y17" i="4" a="1"/>
  <c r="Y17" i="4" s="1"/>
  <c r="F19" i="12" s="1"/>
  <c r="Y34" i="4" a="1"/>
  <c r="Y34" i="4" s="1"/>
  <c r="F36" i="12" s="1"/>
  <c r="Y20" i="4" a="1"/>
  <c r="Y20" i="4" s="1"/>
  <c r="F17" i="12" s="1"/>
  <c r="Y25" i="4" a="1"/>
  <c r="Y25" i="4" s="1"/>
  <c r="F27" i="12" s="1"/>
  <c r="Y18" i="4" a="1"/>
  <c r="Y18" i="4" s="1"/>
  <c r="F7" i="12" s="1"/>
  <c r="Y15" i="4" a="1"/>
  <c r="Y15" i="4" s="1"/>
  <c r="F28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2" i="12" s="1"/>
  <c r="Y6" i="4" a="1"/>
  <c r="Y6" i="4" s="1"/>
  <c r="F24" i="12" s="1"/>
  <c r="Y28" i="4" a="1"/>
  <c r="Y28" i="4" s="1"/>
  <c r="F30" i="12" s="1"/>
  <c r="Y16" i="4" a="1"/>
  <c r="Y16" i="4" s="1"/>
  <c r="F6" i="12" s="1"/>
  <c r="Y43" i="4" a="1"/>
  <c r="Y43" i="4" s="1"/>
  <c r="F45" i="12" s="1"/>
  <c r="Y21" i="4" a="1"/>
  <c r="Y21" i="4" s="1"/>
  <c r="F15" i="12" s="1"/>
  <c r="Y7" i="4" a="1"/>
  <c r="Y7" i="4" s="1"/>
  <c r="F23" i="12" s="1"/>
  <c r="Y31" i="4" a="1"/>
  <c r="Y31" i="4" s="1"/>
  <c r="F33" i="12" s="1"/>
  <c r="Y36" i="4" a="1"/>
  <c r="Y36" i="4" s="1"/>
  <c r="F38" i="12" s="1"/>
  <c r="Y5" i="4" a="1"/>
  <c r="Y5" i="4" s="1"/>
  <c r="F25" i="12" s="1"/>
  <c r="Y4" i="4" a="1"/>
  <c r="Y4" i="4" s="1"/>
  <c r="F18" i="12" s="1"/>
  <c r="Y12" i="4" a="1"/>
  <c r="Y12" i="4" s="1"/>
  <c r="F21" i="12" s="1"/>
  <c r="Y22" i="4" a="1"/>
  <c r="Y22" i="4" s="1"/>
  <c r="F13" i="12" s="1"/>
  <c r="Y39" i="4" a="1"/>
  <c r="Y39" i="4" s="1"/>
  <c r="F41" i="12" s="1"/>
  <c r="Y32" i="4" a="1"/>
  <c r="Y32" i="4" s="1"/>
  <c r="F34" i="12" s="1"/>
  <c r="Y23" i="4" a="1"/>
  <c r="Y23" i="4" s="1"/>
  <c r="F20" i="12" s="1"/>
  <c r="Y11" i="4" a="1"/>
  <c r="Y11" i="4" s="1"/>
  <c r="F11" i="12" s="1"/>
  <c r="B43" i="1" l="1"/>
</calcChain>
</file>

<file path=xl/sharedStrings.xml><?xml version="1.0" encoding="utf-8"?>
<sst xmlns="http://schemas.openxmlformats.org/spreadsheetml/2006/main" count="509" uniqueCount="339">
  <si>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</si>
  <si>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</si>
  <si>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</si>
  <si>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</si>
  <si>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</si>
  <si>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</si>
  <si>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</si>
  <si>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</si>
  <si>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</si>
  <si>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</si>
  <si>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</si>
  <si>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</si>
  <si>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</si>
  <si>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</si>
  <si>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</si>
  <si>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</si>
  <si>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</si>
  <si>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</si>
  <si>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</si>
  <si>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</si>
  <si>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</si>
  <si>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</si>
  <si>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</si>
  <si>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</si>
  <si>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</si>
  <si>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</si>
  <si>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</si>
  <si>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</si>
  <si>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</si>
  <si>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</si>
  <si>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</si>
  <si>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</si>
  <si>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</si>
  <si>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</si>
  <si>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</si>
  <si>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</si>
  <si>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</si>
  <si>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</si>
  <si>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</si>
  <si>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</si>
  <si>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</si>
  <si>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</si>
  <si>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</si>
  <si>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</si>
  <si>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</si>
  <si>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</si>
  <si>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</si>
  <si>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</si>
  <si>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</si>
  <si>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</si>
  <si>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</si>
  <si>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</si>
  <si>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</si>
  <si>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</si>
  <si>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</si>
  <si>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</si>
  <si>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</si>
  <si>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</si>
  <si>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</si>
  <si>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</si>
  <si>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</si>
  <si>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</si>
  <si>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</si>
  <si>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</si>
  <si>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</si>
  <si>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</si>
  <si>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</si>
  <si>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</si>
  <si>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</si>
  <si>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</si>
  <si>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</si>
  <si>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</si>
  <si>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</si>
  <si>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</si>
  <si>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</si>
  <si>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</si>
  <si>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</si>
  <si>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</si>
  <si>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</si>
  <si>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</si>
  <si>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</si>
  <si>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</si>
  <si>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</si>
  <si>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</si>
  <si>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</si>
  <si>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</si>
  <si>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</si>
  <si>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</si>
  <si>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</si>
  <si>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</si>
  <si>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</si>
  <si>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</si>
  <si>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</si>
  <si>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</si>
  <si>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</si>
  <si>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</si>
  <si>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</si>
  <si>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</si>
  <si>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</si>
  <si>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</si>
  <si>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</si>
  <si>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</si>
  <si>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</si>
  <si>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</si>
  <si>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</si>
  <si>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</si>
  <si>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</si>
  <si>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</si>
  <si>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</si>
  <si>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</si>
  <si>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</si>
  <si>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</si>
  <si>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</si>
  <si>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</si>
  <si>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</si>
  <si>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</si>
  <si>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</si>
  <si>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</si>
  <si>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</si>
  <si>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</si>
  <si>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</si>
  <si>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</si>
  <si>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</si>
  <si>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</si>
  <si>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</si>
  <si>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</si>
  <si>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</si>
  <si>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</si>
  <si>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</si>
  <si>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</si>
  <si>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</si>
  <si>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</si>
  <si>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</si>
  <si>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</si>
  <si>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</si>
  <si>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</si>
  <si>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</si>
  <si>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</si>
  <si>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</si>
  <si>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</si>
  <si>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</si>
  <si>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</si>
  <si>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</si>
  <si>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</si>
  <si>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</si>
  <si>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</si>
  <si>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</si>
  <si>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</si>
  <si>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</si>
  <si>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</si>
  <si>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</si>
  <si>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</si>
  <si>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</si>
  <si>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</si>
  <si>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</si>
  <si>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</si>
  <si>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</si>
  <si>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</si>
  <si>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</si>
  <si>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</si>
  <si>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</si>
  <si>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</si>
  <si>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</si>
  <si>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</si>
  <si>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</si>
  <si>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</si>
  <si>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</si>
  <si>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</si>
  <si>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</si>
  <si>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</si>
  <si>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</si>
  <si>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</si>
  <si>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</si>
  <si>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</si>
  <si>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</si>
  <si>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</si>
  <si>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</si>
  <si>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</si>
  <si>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</si>
  <si>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</si>
  <si>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</si>
  <si>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</si>
  <si>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</si>
  <si>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</si>
  <si>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</si>
  <si>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</si>
  <si>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</si>
  <si>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</si>
  <si>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</si>
  <si>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</si>
  <si>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</si>
  <si>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</si>
  <si>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</si>
  <si>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</si>
  <si>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</si>
  <si>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</si>
  <si>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</si>
  <si>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</si>
  <si>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</si>
  <si>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</si>
  <si>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</si>
  <si>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</si>
  <si>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</si>
  <si>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</si>
  <si>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</si>
  <si>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</si>
  <si>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</si>
  <si>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</si>
  <si>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</si>
  <si>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</si>
  <si>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</si>
  <si>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</si>
  <si>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</si>
  <si>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</si>
  <si>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</si>
  <si>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</si>
  <si>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</si>
  <si>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</si>
  <si>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</si>
  <si>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</si>
  <si>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</si>
  <si>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</si>
  <si>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</si>
  <si>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</si>
  <si>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</si>
  <si>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</si>
  <si>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</si>
  <si>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</si>
  <si>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</si>
  <si>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</si>
  <si>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</si>
  <si>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</si>
  <si>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</si>
  <si>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</si>
  <si>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</si>
  <si>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</si>
  <si>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</si>
  <si>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</si>
  <si>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</si>
  <si>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</si>
  <si>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</si>
  <si>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</si>
  <si>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</si>
  <si>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</si>
  <si>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</si>
  <si>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</si>
  <si>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</si>
  <si>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</si>
  <si>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</si>
  <si>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</si>
  <si>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</si>
  <si>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</si>
  <si>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</si>
  <si>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</si>
  <si>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</si>
  <si>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</si>
  <si>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</si>
  <si>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</si>
  <si>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</si>
  <si>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</si>
  <si>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</si>
  <si>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</si>
  <si>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</si>
  <si>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</si>
  <si>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</si>
  <si>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</si>
  <si>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</si>
  <si>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</si>
  <si>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</si>
  <si>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</si>
  <si>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</si>
  <si>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</si>
  <si>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</si>
  <si>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</si>
  <si>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</si>
  <si>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</si>
  <si>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</si>
  <si>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</si>
  <si>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</si>
  <si>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</si>
  <si>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</si>
  <si>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</si>
  <si>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</si>
  <si>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</si>
  <si>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</si>
  <si>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</si>
  <si>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</si>
  <si>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كياهى الحاج شهاب المعي</t>
  </si>
  <si>
    <t>Nama Arab</t>
  </si>
  <si>
    <t>الخامس ج للبنين</t>
  </si>
  <si>
    <t>AGUS SAEPULLOH</t>
  </si>
  <si>
    <t>0460</t>
  </si>
  <si>
    <t>ALIFXANDER NESTA SAFI'I</t>
  </si>
  <si>
    <t>0461</t>
  </si>
  <si>
    <t>ANAN WIDIANSYAH</t>
  </si>
  <si>
    <t>0462</t>
  </si>
  <si>
    <t>DANIL RAMADHAN</t>
  </si>
  <si>
    <t>0463</t>
  </si>
  <si>
    <t>FAHRI NUR AZIZ</t>
  </si>
  <si>
    <t>0464</t>
  </si>
  <si>
    <t>FAISAL RAMADHAN</t>
  </si>
  <si>
    <t>0465</t>
  </si>
  <si>
    <t>FIKI KURNIAWAN</t>
  </si>
  <si>
    <t>0466</t>
  </si>
  <si>
    <t>IKHBAL FATUROKHMAN</t>
  </si>
  <si>
    <t>0467</t>
  </si>
  <si>
    <t>ILHAM NUR WAHYU</t>
  </si>
  <si>
    <t>0468</t>
  </si>
  <si>
    <t>LUTHFI RAMADHAN</t>
  </si>
  <si>
    <t>0469</t>
  </si>
  <si>
    <t>MAULIDAN FAHRI BASTAMAN</t>
  </si>
  <si>
    <t>0470</t>
  </si>
  <si>
    <t>MOCHAMMAD FIKRI</t>
  </si>
  <si>
    <t>0471</t>
  </si>
  <si>
    <t>MUHAMAD ANDREAN</t>
  </si>
  <si>
    <t>0472</t>
  </si>
  <si>
    <t>MUHAMAD FEBRIANSYAH</t>
  </si>
  <si>
    <t>0473</t>
  </si>
  <si>
    <t>MUHAMAD HILMAN</t>
  </si>
  <si>
    <t>0474</t>
  </si>
  <si>
    <t>MUHAMAD RIZKI FADILAH</t>
  </si>
  <si>
    <t>0475</t>
  </si>
  <si>
    <t>MUHAMAD YUSUF IRFAN</t>
  </si>
  <si>
    <t>0476</t>
  </si>
  <si>
    <t>MUHAMAD ZIDAN</t>
  </si>
  <si>
    <t>0477</t>
  </si>
  <si>
    <t>MUHAMMAD AZIZ ABDIYANTO</t>
  </si>
  <si>
    <t>0478</t>
  </si>
  <si>
    <t>MUHAMMAD TANZILUL MUNZIAT</t>
  </si>
  <si>
    <t>0479</t>
  </si>
  <si>
    <t>MUHAMMAD WILDANUL HUDA</t>
  </si>
  <si>
    <t>0480</t>
  </si>
  <si>
    <t>NAUFAL RIZKIA AL THAF</t>
  </si>
  <si>
    <t>0481</t>
  </si>
  <si>
    <t>ROHIN ARPINAS</t>
  </si>
  <si>
    <t>0482</t>
  </si>
  <si>
    <t xml:space="preserve"> الا ستاذ احمد بيضاري</t>
  </si>
  <si>
    <t>اغوس سيف الله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</si>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</sst>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1" fillId="0" borderId="0"/>
  </cellStyleXfs>
  <cellXfs count="29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0" fontId="0" fillId="0" borderId="2" xfId="0" quotePrefix="1" applyBorder="1" applyProtection="1">
      <protection locked="0"/>
    </xf>
    <xf numFmtId="2" fontId="21" fillId="0" borderId="2" xfId="0" applyNumberFormat="1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164" fontId="18" fillId="0" borderId="1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8" fillId="0" borderId="2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164" fontId="19" fillId="0" borderId="13" xfId="0" applyNumberFormat="1" applyFont="1" applyBorder="1" applyAlignment="1" applyProtection="1">
      <alignment horizontal="center" vertical="center"/>
      <protection locked="0"/>
    </xf>
    <xf numFmtId="164" fontId="19" fillId="0" borderId="41" xfId="0" applyNumberFormat="1" applyFont="1" applyBorder="1" applyAlignment="1" applyProtection="1">
      <alignment horizontal="center" vertical="center"/>
      <protection locked="0"/>
    </xf>
    <xf numFmtId="164" fontId="19" fillId="0" borderId="28" xfId="0" applyNumberFormat="1" applyFont="1" applyBorder="1" applyAlignment="1" applyProtection="1">
      <alignment horizontal="center" vertical="center"/>
      <protection locked="0"/>
    </xf>
    <xf numFmtId="164" fontId="19" fillId="0" borderId="4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40" fillId="0" borderId="0" xfId="0" applyFont="1" applyAlignment="1">
      <alignment horizontal="right" vertical="center" readingOrder="2"/>
    </xf>
    <xf numFmtId="0" fontId="40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41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3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3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838827</xdr:colOff>
      <xdr:row>53</xdr:row>
      <xdr:rowOff>15678</xdr:rowOff>
    </xdr:from>
    <xdr:to>
      <xdr:col>14</xdr:col>
      <xdr:colOff>332854</xdr:colOff>
      <xdr:row>57</xdr:row>
      <xdr:rowOff>146272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078BB2A8-E372-44A7-9F5E-E3288677D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18210" y="10214876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D22" sqref="D22"/>
    </sheetView>
  </sheetViews>
  <sheetFormatPr defaultColWidth="8.7265625" defaultRowHeight="14.5" x14ac:dyDescent="0.35"/>
  <cols>
    <col min="1" max="1" width="8.7265625" style="20" customWidth="1"/>
    <col min="2" max="2" width="6.2695312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8" t="s">
        <v>174</v>
      </c>
      <c r="D1" s="128"/>
      <c r="E1" s="128"/>
      <c r="F1" s="128"/>
      <c r="G1" s="128"/>
    </row>
    <row r="2" spans="1:12" x14ac:dyDescent="0.35">
      <c r="C2" s="128"/>
      <c r="D2" s="128"/>
      <c r="E2" s="128"/>
      <c r="F2" s="128"/>
      <c r="G2" s="128"/>
    </row>
    <row r="3" spans="1:12" ht="7.5" customHeight="1" x14ac:dyDescent="0.35">
      <c r="C3" s="129"/>
      <c r="D3" s="130"/>
      <c r="E3" s="130"/>
      <c r="F3" s="130"/>
      <c r="G3" s="131"/>
    </row>
    <row r="4" spans="1:12" ht="21" x14ac:dyDescent="0.35">
      <c r="A4" s="20" t="s">
        <v>97</v>
      </c>
      <c r="B4" s="20" t="str">
        <f>CONCATENATE(F4," ",E4," ",C4)</f>
        <v>الصف  : الخامس ج للبنين</v>
      </c>
      <c r="C4" s="122" t="s">
        <v>289</v>
      </c>
      <c r="D4" s="122"/>
      <c r="E4" s="122" t="s">
        <v>155</v>
      </c>
      <c r="F4" s="58" t="s">
        <v>154</v>
      </c>
      <c r="G4" s="121">
        <v>1</v>
      </c>
    </row>
    <row r="5" spans="1:12" x14ac:dyDescent="0.35">
      <c r="C5" s="122"/>
      <c r="D5" s="122"/>
      <c r="E5" s="122"/>
      <c r="F5" s="57" t="s">
        <v>159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5" t="s">
        <v>281</v>
      </c>
      <c r="D7" s="136"/>
      <c r="E7" s="133" t="s">
        <v>155</v>
      </c>
      <c r="F7" s="58" t="s">
        <v>166</v>
      </c>
      <c r="G7" s="126">
        <v>2</v>
      </c>
    </row>
    <row r="8" spans="1:12" ht="21.65" customHeight="1" x14ac:dyDescent="0.35">
      <c r="C8" s="137"/>
      <c r="D8" s="138"/>
      <c r="E8" s="134"/>
      <c r="F8" s="57" t="s">
        <v>167</v>
      </c>
      <c r="G8" s="127"/>
    </row>
    <row r="9" spans="1:12" ht="7" customHeight="1" x14ac:dyDescent="0.35">
      <c r="C9" s="129"/>
      <c r="D9" s="130"/>
      <c r="E9" s="130"/>
      <c r="F9" s="130"/>
      <c r="G9" s="131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40" t="s">
        <v>282</v>
      </c>
      <c r="D10" s="140"/>
      <c r="E10" s="122" t="s">
        <v>155</v>
      </c>
      <c r="F10" s="56" t="s">
        <v>156</v>
      </c>
      <c r="G10" s="121">
        <v>3</v>
      </c>
    </row>
    <row r="11" spans="1:12" ht="26.15" customHeight="1" x14ac:dyDescent="0.35">
      <c r="B11" s="111" t="str">
        <f>CONCATENATE(C10," ","م")</f>
        <v>٢٠٢٤ - ٢٠٢٥ م</v>
      </c>
      <c r="C11" s="139" t="s">
        <v>283</v>
      </c>
      <c r="D11" s="139"/>
      <c r="E11" s="122"/>
      <c r="F11" s="57" t="s">
        <v>158</v>
      </c>
      <c r="G11" s="121"/>
    </row>
    <row r="12" spans="1:12" ht="6.65" customHeight="1" x14ac:dyDescent="0.35">
      <c r="B12" s="111" t="str">
        <f>CONCATENATE(C11," ","ه")</f>
        <v>١٤٤٥ - ١٤٤٦ ه</v>
      </c>
      <c r="C12" s="120"/>
      <c r="D12" s="120"/>
      <c r="E12" s="120"/>
      <c r="F12" s="120"/>
      <c r="G12" s="120"/>
    </row>
    <row r="13" spans="1:12" ht="21" x14ac:dyDescent="0.5">
      <c r="C13" s="124" t="s">
        <v>284</v>
      </c>
      <c r="D13" s="125"/>
      <c r="E13" s="122" t="s">
        <v>155</v>
      </c>
      <c r="F13" s="56" t="s">
        <v>157</v>
      </c>
      <c r="G13" s="121">
        <v>4</v>
      </c>
      <c r="K13" s="54"/>
    </row>
    <row r="14" spans="1:12" ht="22.5" customHeight="1" x14ac:dyDescent="0.35">
      <c r="C14" s="125" t="s">
        <v>285</v>
      </c>
      <c r="D14" s="125"/>
      <c r="E14" s="122"/>
      <c r="F14" s="57" t="s">
        <v>160</v>
      </c>
      <c r="G14" s="121"/>
      <c r="K14" s="54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32" t="s">
        <v>287</v>
      </c>
      <c r="D16" s="132"/>
      <c r="E16" s="122" t="s">
        <v>155</v>
      </c>
      <c r="F16" s="56" t="s">
        <v>162</v>
      </c>
      <c r="G16" s="121">
        <v>5</v>
      </c>
      <c r="K16" s="54"/>
      <c r="L16" s="54"/>
    </row>
    <row r="17" spans="3:12" ht="14.5" customHeight="1" x14ac:dyDescent="0.35">
      <c r="C17" s="132"/>
      <c r="D17" s="132"/>
      <c r="E17" s="122"/>
      <c r="F17" s="57" t="s">
        <v>164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336</v>
      </c>
      <c r="D19" s="119"/>
      <c r="E19" s="122" t="s">
        <v>155</v>
      </c>
      <c r="F19" s="56" t="s">
        <v>163</v>
      </c>
      <c r="G19" s="121">
        <v>6</v>
      </c>
    </row>
    <row r="20" spans="3:12" ht="15" customHeight="1" x14ac:dyDescent="0.35">
      <c r="C20" s="119"/>
      <c r="D20" s="119"/>
      <c r="E20" s="122"/>
      <c r="F20" s="55" t="s">
        <v>165</v>
      </c>
      <c r="G20" s="121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4" sqref="D4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26953125" style="20" customWidth="1"/>
    <col min="5" max="16384" width="8.7265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288</v>
      </c>
    </row>
    <row r="2" spans="1:4" ht="18" customHeight="1" x14ac:dyDescent="0.35">
      <c r="A2" s="6">
        <v>1</v>
      </c>
      <c r="B2" s="113" t="s">
        <v>290</v>
      </c>
      <c r="C2" s="114" t="s">
        <v>291</v>
      </c>
      <c r="D2" s="115" t="s">
        <v>337</v>
      </c>
    </row>
    <row r="3" spans="1:4" ht="18" customHeight="1" x14ac:dyDescent="0.35">
      <c r="A3" s="6">
        <v>2</v>
      </c>
      <c r="B3" s="113" t="s">
        <v>292</v>
      </c>
      <c r="C3" s="114" t="s">
        <v>293</v>
      </c>
      <c r="D3" s="115"/>
    </row>
    <row r="4" spans="1:4" ht="18" customHeight="1" x14ac:dyDescent="0.35">
      <c r="A4" s="6">
        <v>3</v>
      </c>
      <c r="B4" s="113" t="s">
        <v>294</v>
      </c>
      <c r="C4" s="114" t="s">
        <v>295</v>
      </c>
      <c r="D4" s="115" t="s">
        <v>97</v>
      </c>
    </row>
    <row r="5" spans="1:4" ht="18" customHeight="1" x14ac:dyDescent="0.35">
      <c r="A5" s="6">
        <v>4</v>
      </c>
      <c r="B5" s="113" t="s">
        <v>296</v>
      </c>
      <c r="C5" s="114" t="s">
        <v>297</v>
      </c>
      <c r="D5" s="115" t="s">
        <v>97</v>
      </c>
    </row>
    <row r="6" spans="1:4" ht="18" customHeight="1" x14ac:dyDescent="0.35">
      <c r="A6" s="6">
        <v>5</v>
      </c>
      <c r="B6" s="113" t="s">
        <v>298</v>
      </c>
      <c r="C6" s="114" t="s">
        <v>299</v>
      </c>
      <c r="D6" s="115" t="s">
        <v>97</v>
      </c>
    </row>
    <row r="7" spans="1:4" ht="18" customHeight="1" x14ac:dyDescent="0.35">
      <c r="A7" s="6">
        <v>6</v>
      </c>
      <c r="B7" s="113" t="s">
        <v>300</v>
      </c>
      <c r="C7" s="114" t="s">
        <v>301</v>
      </c>
      <c r="D7" s="115" t="s">
        <v>97</v>
      </c>
    </row>
    <row r="8" spans="1:4" ht="18" customHeight="1" x14ac:dyDescent="0.35">
      <c r="A8" s="6">
        <v>7</v>
      </c>
      <c r="B8" s="113" t="s">
        <v>302</v>
      </c>
      <c r="C8" s="114" t="s">
        <v>303</v>
      </c>
      <c r="D8" s="115" t="s">
        <v>97</v>
      </c>
    </row>
    <row r="9" spans="1:4" ht="18" customHeight="1" x14ac:dyDescent="0.35">
      <c r="A9" s="6">
        <v>8</v>
      </c>
      <c r="B9" s="113" t="s">
        <v>304</v>
      </c>
      <c r="C9" s="114" t="s">
        <v>305</v>
      </c>
      <c r="D9" s="115" t="s">
        <v>97</v>
      </c>
    </row>
    <row r="10" spans="1:4" ht="18" customHeight="1" x14ac:dyDescent="0.35">
      <c r="A10" s="6">
        <v>9</v>
      </c>
      <c r="B10" s="113" t="s">
        <v>306</v>
      </c>
      <c r="C10" s="114" t="s">
        <v>307</v>
      </c>
      <c r="D10" s="115" t="s">
        <v>97</v>
      </c>
    </row>
    <row r="11" spans="1:4" ht="18" customHeight="1" x14ac:dyDescent="0.35">
      <c r="A11" s="6">
        <v>10</v>
      </c>
      <c r="B11" s="113" t="s">
        <v>308</v>
      </c>
      <c r="C11" s="114" t="s">
        <v>309</v>
      </c>
      <c r="D11" s="115" t="s">
        <v>97</v>
      </c>
    </row>
    <row r="12" spans="1:4" ht="18" customHeight="1" x14ac:dyDescent="0.35">
      <c r="A12" s="6">
        <v>11</v>
      </c>
      <c r="B12" s="113" t="s">
        <v>310</v>
      </c>
      <c r="C12" s="114" t="s">
        <v>311</v>
      </c>
      <c r="D12" s="115" t="s">
        <v>97</v>
      </c>
    </row>
    <row r="13" spans="1:4" ht="18" customHeight="1" x14ac:dyDescent="0.35">
      <c r="A13" s="6">
        <v>12</v>
      </c>
      <c r="B13" s="113" t="s">
        <v>312</v>
      </c>
      <c r="C13" s="114" t="s">
        <v>313</v>
      </c>
      <c r="D13" s="115" t="s">
        <v>97</v>
      </c>
    </row>
    <row r="14" spans="1:4" ht="18" customHeight="1" x14ac:dyDescent="0.35">
      <c r="A14" s="6">
        <v>13</v>
      </c>
      <c r="B14" s="113" t="s">
        <v>314</v>
      </c>
      <c r="C14" s="114" t="s">
        <v>315</v>
      </c>
      <c r="D14" s="115" t="s">
        <v>97</v>
      </c>
    </row>
    <row r="15" spans="1:4" ht="18" customHeight="1" x14ac:dyDescent="0.35">
      <c r="A15" s="6">
        <v>14</v>
      </c>
      <c r="B15" s="113" t="s">
        <v>316</v>
      </c>
      <c r="C15" s="114" t="s">
        <v>317</v>
      </c>
      <c r="D15" s="115" t="s">
        <v>97</v>
      </c>
    </row>
    <row r="16" spans="1:4" ht="18" customHeight="1" x14ac:dyDescent="0.35">
      <c r="A16" s="6">
        <v>15</v>
      </c>
      <c r="B16" s="113" t="s">
        <v>318</v>
      </c>
      <c r="C16" s="114" t="s">
        <v>319</v>
      </c>
      <c r="D16" s="115" t="s">
        <v>97</v>
      </c>
    </row>
    <row r="17" spans="1:4" ht="18" customHeight="1" x14ac:dyDescent="0.35">
      <c r="A17" s="6">
        <v>16</v>
      </c>
      <c r="B17" s="113" t="s">
        <v>320</v>
      </c>
      <c r="C17" s="114" t="s">
        <v>321</v>
      </c>
      <c r="D17" s="115" t="s">
        <v>97</v>
      </c>
    </row>
    <row r="18" spans="1:4" ht="18" customHeight="1" x14ac:dyDescent="0.35">
      <c r="A18" s="6">
        <v>17</v>
      </c>
      <c r="B18" s="113" t="s">
        <v>322</v>
      </c>
      <c r="C18" s="114" t="s">
        <v>323</v>
      </c>
      <c r="D18" s="115" t="s">
        <v>97</v>
      </c>
    </row>
    <row r="19" spans="1:4" ht="18" customHeight="1" x14ac:dyDescent="0.35">
      <c r="A19" s="6">
        <v>18</v>
      </c>
      <c r="B19" s="113" t="s">
        <v>324</v>
      </c>
      <c r="C19" s="114" t="s">
        <v>325</v>
      </c>
      <c r="D19" s="115" t="s">
        <v>97</v>
      </c>
    </row>
    <row r="20" spans="1:4" ht="18" customHeight="1" x14ac:dyDescent="0.35">
      <c r="A20" s="6">
        <v>19</v>
      </c>
      <c r="B20" s="113" t="s">
        <v>326</v>
      </c>
      <c r="C20" s="114" t="s">
        <v>327</v>
      </c>
      <c r="D20" s="115" t="s">
        <v>97</v>
      </c>
    </row>
    <row r="21" spans="1:4" ht="18" customHeight="1" x14ac:dyDescent="0.35">
      <c r="A21" s="6">
        <v>20</v>
      </c>
      <c r="B21" s="113" t="s">
        <v>328</v>
      </c>
      <c r="C21" s="114" t="s">
        <v>329</v>
      </c>
      <c r="D21" s="115" t="s">
        <v>97</v>
      </c>
    </row>
    <row r="22" spans="1:4" ht="18" customHeight="1" x14ac:dyDescent="0.35">
      <c r="A22" s="6">
        <v>21</v>
      </c>
      <c r="B22" s="113" t="s">
        <v>330</v>
      </c>
      <c r="C22" s="114" t="s">
        <v>331</v>
      </c>
      <c r="D22" s="115" t="s">
        <v>97</v>
      </c>
    </row>
    <row r="23" spans="1:4" ht="18" customHeight="1" x14ac:dyDescent="0.35">
      <c r="A23" s="6">
        <v>22</v>
      </c>
      <c r="B23" s="113" t="s">
        <v>332</v>
      </c>
      <c r="C23" s="114" t="s">
        <v>333</v>
      </c>
      <c r="D23" s="115" t="s">
        <v>97</v>
      </c>
    </row>
    <row r="24" spans="1:4" ht="18" customHeight="1" x14ac:dyDescent="0.35">
      <c r="A24" s="6">
        <v>23</v>
      </c>
      <c r="B24" s="113" t="s">
        <v>334</v>
      </c>
      <c r="C24" s="114" t="s">
        <v>335</v>
      </c>
      <c r="D24" s="115" t="s">
        <v>97</v>
      </c>
    </row>
    <row r="25" spans="1:4" ht="18" customHeight="1" x14ac:dyDescent="0.35">
      <c r="A25" s="6">
        <v>24</v>
      </c>
      <c r="B25" s="113"/>
      <c r="C25" s="114"/>
      <c r="D25" s="115" t="s">
        <v>97</v>
      </c>
    </row>
    <row r="26" spans="1:4" ht="18" customHeight="1" x14ac:dyDescent="0.35">
      <c r="A26" s="6">
        <v>25</v>
      </c>
      <c r="B26" s="113"/>
      <c r="C26" s="114"/>
      <c r="D26" s="115" t="s">
        <v>97</v>
      </c>
    </row>
    <row r="27" spans="1:4" ht="18" customHeight="1" x14ac:dyDescent="0.35">
      <c r="A27" s="6">
        <v>26</v>
      </c>
      <c r="B27" s="113"/>
      <c r="C27" s="114"/>
      <c r="D27" s="115" t="s">
        <v>97</v>
      </c>
    </row>
    <row r="28" spans="1:4" ht="18" customHeight="1" x14ac:dyDescent="0.35">
      <c r="A28" s="6">
        <v>27</v>
      </c>
      <c r="B28" s="113"/>
      <c r="C28" s="114"/>
      <c r="D28" s="115" t="s">
        <v>97</v>
      </c>
    </row>
    <row r="29" spans="1:4" ht="18" customHeight="1" x14ac:dyDescent="0.35">
      <c r="A29" s="6">
        <v>28</v>
      </c>
      <c r="B29" s="113"/>
      <c r="C29" s="114"/>
      <c r="D29" s="115" t="s">
        <v>97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xhrc/tPP+iYuW0xDNslsFSEO6txusrKg7UZThukTGwNoEO9GDUbP9p3opTzHauvCl7/6iPZngNiNYUaFUmy/0w==" saltValue="9LaieBtxD8kUXEsAVC3fg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C2" zoomScaleNormal="100" workbookViewId="0">
      <selection activeCell="L18" sqref="L1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AGUS SAEPULLOH</v>
      </c>
      <c r="C2" s="8" t="str">
        <f>'Data Siswa'!C2</f>
        <v>0460</v>
      </c>
      <c r="D2" s="15">
        <v>5</v>
      </c>
      <c r="E2" s="15">
        <v>5</v>
      </c>
      <c r="F2" s="15">
        <v>4</v>
      </c>
      <c r="G2" s="15">
        <v>4</v>
      </c>
      <c r="H2" s="15">
        <v>4</v>
      </c>
      <c r="I2" s="15">
        <v>4.5</v>
      </c>
      <c r="J2" s="15">
        <v>5</v>
      </c>
      <c r="K2" s="15">
        <v>4</v>
      </c>
      <c r="L2" s="15">
        <v>4</v>
      </c>
      <c r="M2" s="15">
        <v>5</v>
      </c>
      <c r="N2" s="15">
        <v>4.5</v>
      </c>
      <c r="O2" s="15">
        <v>6</v>
      </c>
      <c r="P2" s="15">
        <v>5</v>
      </c>
      <c r="Q2" s="15">
        <v>4.5</v>
      </c>
      <c r="R2" s="15">
        <v>4</v>
      </c>
      <c r="S2" s="15">
        <v>4.5</v>
      </c>
      <c r="T2" s="15">
        <v>4.5</v>
      </c>
      <c r="U2" s="15">
        <v>5</v>
      </c>
      <c r="V2" s="15">
        <v>4</v>
      </c>
      <c r="W2" s="15">
        <v>7</v>
      </c>
      <c r="X2" s="15">
        <v>5.5</v>
      </c>
      <c r="Y2" s="15">
        <v>7.9</v>
      </c>
      <c r="Z2" s="15">
        <v>7</v>
      </c>
      <c r="AA2" s="15">
        <v>7</v>
      </c>
      <c r="AB2" s="110"/>
      <c r="AC2" s="110"/>
      <c r="AD2" s="110"/>
      <c r="AE2" s="15">
        <v>7.6</v>
      </c>
      <c r="AF2" s="15">
        <v>7.5</v>
      </c>
      <c r="AG2" s="15">
        <v>7.8</v>
      </c>
      <c r="AH2" s="15">
        <v>8.5</v>
      </c>
      <c r="AI2" s="15">
        <v>7.7</v>
      </c>
      <c r="AJ2" s="16">
        <f t="shared" ref="AJ2:AJ41" si="0">SUM(D2:AI2)</f>
        <v>160</v>
      </c>
      <c r="AK2" s="65">
        <f>AVERAGE(D2:AI2)</f>
        <v>5.5172413793103452</v>
      </c>
    </row>
    <row r="3" spans="1:37" ht="15.5" x14ac:dyDescent="0.35">
      <c r="A3" s="8">
        <f>'Data Siswa'!A3</f>
        <v>2</v>
      </c>
      <c r="B3" s="77" t="str">
        <f>'Data Siswa'!B3</f>
        <v>ALIFXANDER NESTA SAFI'I</v>
      </c>
      <c r="C3" s="8" t="str">
        <f>'Data Siswa'!C3</f>
        <v>0461</v>
      </c>
      <c r="D3" s="15">
        <v>5.5</v>
      </c>
      <c r="E3" s="15">
        <v>4.5</v>
      </c>
      <c r="F3" s="15">
        <v>4</v>
      </c>
      <c r="G3" s="15">
        <v>4</v>
      </c>
      <c r="H3" s="15">
        <v>4</v>
      </c>
      <c r="I3" s="15">
        <v>4.5</v>
      </c>
      <c r="J3" s="15">
        <v>5</v>
      </c>
      <c r="K3" s="15">
        <v>4.5</v>
      </c>
      <c r="L3" s="15">
        <v>4</v>
      </c>
      <c r="M3" s="15">
        <v>5</v>
      </c>
      <c r="N3" s="15">
        <v>5</v>
      </c>
      <c r="O3" s="15">
        <v>7</v>
      </c>
      <c r="P3" s="15">
        <v>5.5</v>
      </c>
      <c r="Q3" s="15">
        <v>4</v>
      </c>
      <c r="R3" s="15">
        <v>4</v>
      </c>
      <c r="S3" s="15">
        <v>4.5</v>
      </c>
      <c r="T3" s="15">
        <v>4.5</v>
      </c>
      <c r="U3" s="15">
        <v>5</v>
      </c>
      <c r="V3" s="15">
        <v>4.5</v>
      </c>
      <c r="W3" s="15">
        <v>7</v>
      </c>
      <c r="X3" s="15">
        <v>5.5</v>
      </c>
      <c r="Y3" s="15">
        <v>7.9</v>
      </c>
      <c r="Z3" s="15">
        <v>7</v>
      </c>
      <c r="AA3" s="15">
        <v>7</v>
      </c>
      <c r="AB3" s="110"/>
      <c r="AC3" s="110"/>
      <c r="AD3" s="110"/>
      <c r="AE3" s="15">
        <v>7.7</v>
      </c>
      <c r="AF3" s="15">
        <v>7.5</v>
      </c>
      <c r="AG3" s="15">
        <v>7.8</v>
      </c>
      <c r="AH3" s="15">
        <v>7.5</v>
      </c>
      <c r="AI3" s="15">
        <v>7.7</v>
      </c>
      <c r="AJ3" s="16">
        <f t="shared" si="0"/>
        <v>161.6</v>
      </c>
      <c r="AK3" s="65">
        <f t="shared" ref="AK3:AK41" si="1">AVERAGE(D3:AI3)</f>
        <v>5.5724137931034479</v>
      </c>
    </row>
    <row r="4" spans="1:37" ht="15.5" x14ac:dyDescent="0.35">
      <c r="A4" s="8">
        <f>'Data Siswa'!A4</f>
        <v>3</v>
      </c>
      <c r="B4" s="77" t="str">
        <f>'Data Siswa'!B4</f>
        <v>ANAN WIDIANSYAH</v>
      </c>
      <c r="C4" s="8" t="str">
        <f>'Data Siswa'!C4</f>
        <v>0462</v>
      </c>
      <c r="D4" s="15">
        <v>6</v>
      </c>
      <c r="E4" s="15">
        <v>4</v>
      </c>
      <c r="F4" s="15">
        <v>4</v>
      </c>
      <c r="G4" s="15">
        <v>4</v>
      </c>
      <c r="H4" s="15">
        <v>4</v>
      </c>
      <c r="I4" s="15">
        <v>4.5</v>
      </c>
      <c r="J4" s="15">
        <v>5</v>
      </c>
      <c r="K4" s="15">
        <v>4</v>
      </c>
      <c r="L4" s="15">
        <v>4</v>
      </c>
      <c r="M4" s="15">
        <v>4.5</v>
      </c>
      <c r="N4" s="15">
        <v>5.8</v>
      </c>
      <c r="O4" s="15">
        <v>5</v>
      </c>
      <c r="P4" s="15">
        <v>6</v>
      </c>
      <c r="Q4" s="15">
        <v>4</v>
      </c>
      <c r="R4" s="15">
        <v>4</v>
      </c>
      <c r="S4" s="15">
        <v>4.5</v>
      </c>
      <c r="T4" s="15">
        <v>4</v>
      </c>
      <c r="U4" s="15">
        <v>4.5</v>
      </c>
      <c r="V4" s="15">
        <v>4</v>
      </c>
      <c r="W4" s="15">
        <v>7</v>
      </c>
      <c r="X4" s="15">
        <v>6</v>
      </c>
      <c r="Y4" s="15">
        <v>8</v>
      </c>
      <c r="Z4" s="15">
        <v>7.5</v>
      </c>
      <c r="AA4" s="15">
        <v>7</v>
      </c>
      <c r="AB4" s="110"/>
      <c r="AC4" s="110"/>
      <c r="AD4" s="110"/>
      <c r="AE4" s="15">
        <v>8.3000000000000007</v>
      </c>
      <c r="AF4" s="15">
        <v>8</v>
      </c>
      <c r="AG4" s="15">
        <v>7.6</v>
      </c>
      <c r="AH4" s="15">
        <v>7.5</v>
      </c>
      <c r="AI4" s="15">
        <v>7.7</v>
      </c>
      <c r="AJ4" s="16">
        <f t="shared" si="0"/>
        <v>160.39999999999998</v>
      </c>
      <c r="AK4" s="65">
        <f t="shared" si="1"/>
        <v>5.5310344827586198</v>
      </c>
    </row>
    <row r="5" spans="1:37" ht="15.5" x14ac:dyDescent="0.35">
      <c r="A5" s="8">
        <f>'Data Siswa'!A5</f>
        <v>4</v>
      </c>
      <c r="B5" s="77" t="str">
        <f>'Data Siswa'!B5</f>
        <v>DANIL RAMADHAN</v>
      </c>
      <c r="C5" s="8" t="str">
        <f>'Data Siswa'!C5</f>
        <v>0463</v>
      </c>
      <c r="D5" s="15">
        <v>6.5</v>
      </c>
      <c r="E5" s="15">
        <v>5</v>
      </c>
      <c r="F5" s="15">
        <v>4</v>
      </c>
      <c r="G5" s="15">
        <v>4</v>
      </c>
      <c r="H5" s="15">
        <v>4</v>
      </c>
      <c r="I5" s="15">
        <v>4.5</v>
      </c>
      <c r="J5" s="15">
        <v>5</v>
      </c>
      <c r="K5" s="15">
        <v>4</v>
      </c>
      <c r="L5" s="15">
        <v>4</v>
      </c>
      <c r="M5" s="15">
        <v>5</v>
      </c>
      <c r="N5" s="15">
        <v>5</v>
      </c>
      <c r="O5" s="15">
        <v>5</v>
      </c>
      <c r="P5" s="15">
        <v>6.5</v>
      </c>
      <c r="Q5" s="15">
        <v>4</v>
      </c>
      <c r="R5" s="15">
        <v>4</v>
      </c>
      <c r="S5" s="15">
        <v>4.5</v>
      </c>
      <c r="T5" s="15">
        <v>4</v>
      </c>
      <c r="U5" s="15">
        <v>4.5</v>
      </c>
      <c r="V5" s="15">
        <v>4</v>
      </c>
      <c r="W5" s="15">
        <v>7</v>
      </c>
      <c r="X5" s="15">
        <v>5.6</v>
      </c>
      <c r="Y5" s="15">
        <v>7.7</v>
      </c>
      <c r="Z5" s="15">
        <v>7</v>
      </c>
      <c r="AA5" s="15">
        <v>7</v>
      </c>
      <c r="AB5" s="110"/>
      <c r="AC5" s="110"/>
      <c r="AD5" s="110"/>
      <c r="AE5" s="15">
        <v>7.8</v>
      </c>
      <c r="AF5" s="15">
        <v>7.5</v>
      </c>
      <c r="AG5" s="15">
        <v>7.9</v>
      </c>
      <c r="AH5" s="15">
        <v>7.5</v>
      </c>
      <c r="AI5" s="15">
        <v>7.7</v>
      </c>
      <c r="AJ5" s="16">
        <f t="shared" si="0"/>
        <v>160.19999999999999</v>
      </c>
      <c r="AK5" s="65">
        <f t="shared" si="1"/>
        <v>5.524137931034482</v>
      </c>
    </row>
    <row r="6" spans="1:37" ht="15.5" x14ac:dyDescent="0.35">
      <c r="A6" s="8">
        <f>'Data Siswa'!A6</f>
        <v>5</v>
      </c>
      <c r="B6" s="77" t="str">
        <f>'Data Siswa'!B6</f>
        <v>FAHRI NUR AZIZ</v>
      </c>
      <c r="C6" s="8" t="str">
        <f>'Data Siswa'!C6</f>
        <v>0464</v>
      </c>
      <c r="D6" s="15">
        <v>5</v>
      </c>
      <c r="E6" s="15">
        <v>4</v>
      </c>
      <c r="F6" s="15">
        <v>4</v>
      </c>
      <c r="G6" s="15">
        <v>4</v>
      </c>
      <c r="H6" s="15">
        <v>4.5</v>
      </c>
      <c r="I6" s="15">
        <v>4.5</v>
      </c>
      <c r="J6" s="15">
        <v>5</v>
      </c>
      <c r="K6" s="15">
        <v>4</v>
      </c>
      <c r="L6" s="15">
        <v>4</v>
      </c>
      <c r="M6" s="15">
        <v>5</v>
      </c>
      <c r="N6" s="15">
        <v>5</v>
      </c>
      <c r="O6" s="15">
        <v>5.5</v>
      </c>
      <c r="P6" s="15">
        <v>5</v>
      </c>
      <c r="Q6" s="15">
        <v>4</v>
      </c>
      <c r="R6" s="15">
        <v>4</v>
      </c>
      <c r="S6" s="15">
        <v>4.5</v>
      </c>
      <c r="T6" s="15">
        <v>4</v>
      </c>
      <c r="U6" s="15">
        <v>5.5</v>
      </c>
      <c r="V6" s="15">
        <v>4</v>
      </c>
      <c r="W6" s="15">
        <v>7</v>
      </c>
      <c r="X6" s="15">
        <v>5</v>
      </c>
      <c r="Y6" s="15">
        <v>7.9</v>
      </c>
      <c r="Z6" s="15">
        <v>7</v>
      </c>
      <c r="AA6" s="15">
        <v>8</v>
      </c>
      <c r="AB6" s="110"/>
      <c r="AC6" s="110"/>
      <c r="AD6" s="110"/>
      <c r="AE6" s="15">
        <v>7.9</v>
      </c>
      <c r="AF6" s="15">
        <v>7.5</v>
      </c>
      <c r="AG6" s="15">
        <v>7.6</v>
      </c>
      <c r="AH6" s="15">
        <v>7.5</v>
      </c>
      <c r="AI6" s="15">
        <v>7.7</v>
      </c>
      <c r="AJ6" s="16">
        <f t="shared" si="0"/>
        <v>158.6</v>
      </c>
      <c r="AK6" s="65">
        <f t="shared" si="1"/>
        <v>5.4689655172413794</v>
      </c>
    </row>
    <row r="7" spans="1:37" ht="15.5" x14ac:dyDescent="0.35">
      <c r="A7" s="8">
        <f>'Data Siswa'!A7</f>
        <v>6</v>
      </c>
      <c r="B7" s="77" t="str">
        <f>'Data Siswa'!B7</f>
        <v>FAISAL RAMADHAN</v>
      </c>
      <c r="C7" s="8" t="str">
        <f>'Data Siswa'!C7</f>
        <v>0465</v>
      </c>
      <c r="D7" s="15">
        <v>6.5</v>
      </c>
      <c r="E7" s="15">
        <v>6</v>
      </c>
      <c r="F7" s="15">
        <v>4</v>
      </c>
      <c r="G7" s="15">
        <v>4</v>
      </c>
      <c r="H7" s="15">
        <v>4.5</v>
      </c>
      <c r="I7" s="15">
        <v>5</v>
      </c>
      <c r="J7" s="15">
        <v>6</v>
      </c>
      <c r="K7" s="15">
        <v>6</v>
      </c>
      <c r="L7" s="15">
        <v>6</v>
      </c>
      <c r="M7" s="15">
        <v>4</v>
      </c>
      <c r="N7" s="15">
        <v>5</v>
      </c>
      <c r="O7" s="15">
        <v>6</v>
      </c>
      <c r="P7" s="15">
        <v>6.5</v>
      </c>
      <c r="Q7" s="15">
        <v>5.5</v>
      </c>
      <c r="R7" s="15">
        <v>4</v>
      </c>
      <c r="S7" s="15">
        <v>4.5</v>
      </c>
      <c r="T7" s="15">
        <v>5.5</v>
      </c>
      <c r="U7" s="15">
        <v>4</v>
      </c>
      <c r="V7" s="15">
        <v>6</v>
      </c>
      <c r="W7" s="15">
        <v>7</v>
      </c>
      <c r="X7" s="15">
        <v>5.5</v>
      </c>
      <c r="Y7" s="15">
        <v>7.8</v>
      </c>
      <c r="Z7" s="15">
        <v>7.5</v>
      </c>
      <c r="AA7" s="15">
        <v>7.5</v>
      </c>
      <c r="AB7" s="110"/>
      <c r="AC7" s="110"/>
      <c r="AD7" s="110"/>
      <c r="AE7" s="15">
        <v>8.1</v>
      </c>
      <c r="AF7" s="15">
        <v>8</v>
      </c>
      <c r="AG7" s="15">
        <v>7.6</v>
      </c>
      <c r="AH7" s="15">
        <v>7.5</v>
      </c>
      <c r="AI7" s="15">
        <v>8</v>
      </c>
      <c r="AJ7" s="16">
        <f t="shared" si="0"/>
        <v>173.5</v>
      </c>
      <c r="AK7" s="65">
        <f t="shared" si="1"/>
        <v>5.9827586206896548</v>
      </c>
    </row>
    <row r="8" spans="1:37" ht="15.5" x14ac:dyDescent="0.35">
      <c r="A8" s="8">
        <f>'Data Siswa'!A8</f>
        <v>7</v>
      </c>
      <c r="B8" s="77" t="str">
        <f>'Data Siswa'!B8</f>
        <v>FIKI KURNIAWAN</v>
      </c>
      <c r="C8" s="8" t="str">
        <f>'Data Siswa'!C8</f>
        <v>0466</v>
      </c>
      <c r="D8" s="15">
        <v>6</v>
      </c>
      <c r="E8" s="15">
        <v>5</v>
      </c>
      <c r="F8" s="15">
        <v>4.5</v>
      </c>
      <c r="G8" s="15">
        <v>4</v>
      </c>
      <c r="H8" s="15">
        <v>4</v>
      </c>
      <c r="I8" s="15">
        <v>4.5</v>
      </c>
      <c r="J8" s="15">
        <v>6</v>
      </c>
      <c r="K8" s="15">
        <v>5</v>
      </c>
      <c r="L8" s="15">
        <v>4.5</v>
      </c>
      <c r="M8" s="15">
        <v>4</v>
      </c>
      <c r="N8" s="15">
        <v>5.8</v>
      </c>
      <c r="O8" s="15">
        <v>7</v>
      </c>
      <c r="P8" s="15">
        <v>6</v>
      </c>
      <c r="Q8" s="15">
        <v>6.5</v>
      </c>
      <c r="R8" s="15">
        <v>4</v>
      </c>
      <c r="S8" s="15">
        <v>4.5</v>
      </c>
      <c r="T8" s="15">
        <v>6.5</v>
      </c>
      <c r="U8" s="15">
        <v>5.5</v>
      </c>
      <c r="V8" s="15">
        <v>4</v>
      </c>
      <c r="W8" s="15">
        <v>7</v>
      </c>
      <c r="X8" s="15">
        <v>6.5</v>
      </c>
      <c r="Y8" s="15">
        <v>7.7</v>
      </c>
      <c r="Z8" s="15">
        <v>7</v>
      </c>
      <c r="AA8" s="15">
        <v>7.5</v>
      </c>
      <c r="AB8" s="110"/>
      <c r="AC8" s="110"/>
      <c r="AD8" s="110"/>
      <c r="AE8" s="15">
        <v>7.9</v>
      </c>
      <c r="AF8" s="15">
        <v>7.8</v>
      </c>
      <c r="AG8" s="15">
        <v>7.8</v>
      </c>
      <c r="AH8" s="15">
        <v>8</v>
      </c>
      <c r="AI8" s="15">
        <v>7.8</v>
      </c>
      <c r="AJ8" s="16">
        <f t="shared" si="0"/>
        <v>172.30000000000004</v>
      </c>
      <c r="AK8" s="65">
        <f t="shared" si="1"/>
        <v>5.9413793103448294</v>
      </c>
    </row>
    <row r="9" spans="1:37" ht="15.5" x14ac:dyDescent="0.35">
      <c r="A9" s="8">
        <f>'Data Siswa'!A9</f>
        <v>8</v>
      </c>
      <c r="B9" s="77" t="str">
        <f>'Data Siswa'!B9</f>
        <v>IKHBAL FATUROKHMAN</v>
      </c>
      <c r="C9" s="8" t="str">
        <f>'Data Siswa'!C9</f>
        <v>0467</v>
      </c>
      <c r="D9" s="15">
        <v>6.5</v>
      </c>
      <c r="E9" s="15">
        <v>5</v>
      </c>
      <c r="F9" s="15">
        <v>4.5</v>
      </c>
      <c r="G9" s="15">
        <v>4</v>
      </c>
      <c r="H9" s="15">
        <v>4</v>
      </c>
      <c r="I9" s="15">
        <v>6</v>
      </c>
      <c r="J9" s="15">
        <v>6</v>
      </c>
      <c r="K9" s="15">
        <v>4.5</v>
      </c>
      <c r="L9" s="15">
        <v>4</v>
      </c>
      <c r="M9" s="15">
        <v>4</v>
      </c>
      <c r="N9" s="15">
        <v>7</v>
      </c>
      <c r="O9" s="15">
        <v>7</v>
      </c>
      <c r="P9" s="15">
        <v>6.5</v>
      </c>
      <c r="Q9" s="15">
        <v>4</v>
      </c>
      <c r="R9" s="15">
        <v>4</v>
      </c>
      <c r="S9" s="15">
        <v>4.5</v>
      </c>
      <c r="T9" s="15">
        <v>4.5</v>
      </c>
      <c r="U9" s="15">
        <v>4.5</v>
      </c>
      <c r="V9" s="15">
        <v>4</v>
      </c>
      <c r="W9" s="15">
        <v>7</v>
      </c>
      <c r="X9" s="15">
        <v>6.5</v>
      </c>
      <c r="Y9" s="15">
        <v>8</v>
      </c>
      <c r="Z9" s="15">
        <v>7.8</v>
      </c>
      <c r="AA9" s="15">
        <v>7.5</v>
      </c>
      <c r="AB9" s="110"/>
      <c r="AC9" s="110"/>
      <c r="AD9" s="110"/>
      <c r="AE9" s="15">
        <v>8.1999999999999993</v>
      </c>
      <c r="AF9" s="15">
        <v>8</v>
      </c>
      <c r="AG9" s="15">
        <v>8</v>
      </c>
      <c r="AH9" s="15">
        <v>8.5</v>
      </c>
      <c r="AI9" s="15">
        <v>7.8</v>
      </c>
      <c r="AJ9" s="16">
        <f t="shared" si="0"/>
        <v>171.8</v>
      </c>
      <c r="AK9" s="65">
        <f t="shared" si="1"/>
        <v>5.9241379310344833</v>
      </c>
    </row>
    <row r="10" spans="1:37" ht="15.5" x14ac:dyDescent="0.35">
      <c r="A10" s="8">
        <f>'Data Siswa'!A10</f>
        <v>9</v>
      </c>
      <c r="B10" s="77" t="str">
        <f>'Data Siswa'!B10</f>
        <v>ILHAM NUR WAHYU</v>
      </c>
      <c r="C10" s="8" t="str">
        <f>'Data Siswa'!C10</f>
        <v>0468</v>
      </c>
      <c r="D10" s="15">
        <v>6</v>
      </c>
      <c r="E10" s="15">
        <v>5</v>
      </c>
      <c r="F10" s="15">
        <v>4</v>
      </c>
      <c r="G10" s="15">
        <v>4</v>
      </c>
      <c r="H10" s="15">
        <v>4.5</v>
      </c>
      <c r="I10" s="15">
        <v>5</v>
      </c>
      <c r="J10" s="15">
        <v>5</v>
      </c>
      <c r="K10" s="15">
        <v>4.5</v>
      </c>
      <c r="L10" s="15">
        <v>4</v>
      </c>
      <c r="M10" s="15">
        <v>4.5</v>
      </c>
      <c r="N10" s="15">
        <v>5</v>
      </c>
      <c r="O10" s="15">
        <v>7</v>
      </c>
      <c r="P10" s="15">
        <v>6</v>
      </c>
      <c r="Q10" s="15">
        <v>4</v>
      </c>
      <c r="R10" s="15">
        <v>4</v>
      </c>
      <c r="S10" s="15">
        <v>4.5</v>
      </c>
      <c r="T10" s="15">
        <v>4</v>
      </c>
      <c r="U10" s="15">
        <v>4</v>
      </c>
      <c r="V10" s="15">
        <v>4.5</v>
      </c>
      <c r="W10" s="15">
        <v>7</v>
      </c>
      <c r="X10" s="15">
        <v>6</v>
      </c>
      <c r="Y10" s="15">
        <v>7.7</v>
      </c>
      <c r="Z10" s="15">
        <v>7</v>
      </c>
      <c r="AA10" s="15">
        <v>7</v>
      </c>
      <c r="AB10" s="110"/>
      <c r="AC10" s="110"/>
      <c r="AD10" s="110"/>
      <c r="AE10" s="15">
        <v>7.9</v>
      </c>
      <c r="AF10" s="15">
        <v>7.5</v>
      </c>
      <c r="AG10" s="15">
        <v>7.6</v>
      </c>
      <c r="AH10" s="15">
        <v>8</v>
      </c>
      <c r="AI10" s="15">
        <v>7.7</v>
      </c>
      <c r="AJ10" s="16">
        <f t="shared" si="0"/>
        <v>162.89999999999998</v>
      </c>
      <c r="AK10" s="65">
        <f t="shared" si="1"/>
        <v>5.617241379310344</v>
      </c>
    </row>
    <row r="11" spans="1:37" ht="15.5" x14ac:dyDescent="0.35">
      <c r="A11" s="8">
        <f>'Data Siswa'!A11</f>
        <v>10</v>
      </c>
      <c r="B11" s="77" t="str">
        <f>'Data Siswa'!B11</f>
        <v>LUTHFI RAMADHAN</v>
      </c>
      <c r="C11" s="8" t="str">
        <f>'Data Siswa'!C11</f>
        <v>0469</v>
      </c>
      <c r="D11" s="15">
        <v>7</v>
      </c>
      <c r="E11" s="15">
        <v>4.5</v>
      </c>
      <c r="F11" s="15">
        <v>4.5</v>
      </c>
      <c r="G11" s="15">
        <v>4.5</v>
      </c>
      <c r="H11" s="15">
        <v>4</v>
      </c>
      <c r="I11" s="15">
        <v>4.5</v>
      </c>
      <c r="J11" s="15">
        <v>5</v>
      </c>
      <c r="K11" s="15">
        <v>4.5</v>
      </c>
      <c r="L11" s="15">
        <v>4.5</v>
      </c>
      <c r="M11" s="15">
        <v>4.5</v>
      </c>
      <c r="N11" s="15">
        <v>5.8</v>
      </c>
      <c r="O11" s="15">
        <v>6</v>
      </c>
      <c r="P11" s="15">
        <v>7</v>
      </c>
      <c r="Q11" s="15">
        <v>4.5</v>
      </c>
      <c r="R11" s="15">
        <v>4</v>
      </c>
      <c r="S11" s="15">
        <v>4.5</v>
      </c>
      <c r="T11" s="15">
        <v>4.5</v>
      </c>
      <c r="U11" s="15">
        <v>4</v>
      </c>
      <c r="V11" s="15">
        <v>4</v>
      </c>
      <c r="W11" s="15">
        <v>7</v>
      </c>
      <c r="X11" s="15">
        <v>5.5</v>
      </c>
      <c r="Y11" s="15">
        <v>7.7</v>
      </c>
      <c r="Z11" s="15">
        <v>7</v>
      </c>
      <c r="AA11" s="15">
        <v>7</v>
      </c>
      <c r="AB11" s="110"/>
      <c r="AC11" s="110"/>
      <c r="AD11" s="110"/>
      <c r="AE11" s="15">
        <v>8.3000000000000007</v>
      </c>
      <c r="AF11" s="15">
        <v>7</v>
      </c>
      <c r="AG11" s="15">
        <v>7.8</v>
      </c>
      <c r="AH11" s="15">
        <v>8</v>
      </c>
      <c r="AI11" s="15">
        <v>7.7</v>
      </c>
      <c r="AJ11" s="16">
        <f t="shared" si="0"/>
        <v>164.8</v>
      </c>
      <c r="AK11" s="65">
        <f t="shared" si="1"/>
        <v>5.6827586206896559</v>
      </c>
    </row>
    <row r="12" spans="1:37" ht="15.5" x14ac:dyDescent="0.35">
      <c r="A12" s="8">
        <f>'Data Siswa'!A12</f>
        <v>11</v>
      </c>
      <c r="B12" s="77" t="str">
        <f>'Data Siswa'!B12</f>
        <v>MAULIDAN FAHRI BASTAMAN</v>
      </c>
      <c r="C12" s="8" t="str">
        <f>'Data Siswa'!C12</f>
        <v>0470</v>
      </c>
      <c r="D12" s="15">
        <v>6.5</v>
      </c>
      <c r="E12" s="15">
        <v>5</v>
      </c>
      <c r="F12" s="15">
        <v>4</v>
      </c>
      <c r="G12" s="15">
        <v>4</v>
      </c>
      <c r="H12" s="15">
        <v>4</v>
      </c>
      <c r="I12" s="15">
        <v>4.5</v>
      </c>
      <c r="J12" s="15">
        <v>5</v>
      </c>
      <c r="K12" s="15">
        <v>4</v>
      </c>
      <c r="L12" s="15">
        <v>4</v>
      </c>
      <c r="M12" s="15">
        <v>5</v>
      </c>
      <c r="N12" s="15">
        <v>5</v>
      </c>
      <c r="O12" s="15">
        <v>6</v>
      </c>
      <c r="P12" s="15">
        <v>6.5</v>
      </c>
      <c r="Q12" s="15">
        <v>4</v>
      </c>
      <c r="R12" s="15">
        <v>4</v>
      </c>
      <c r="S12" s="15">
        <v>4.5</v>
      </c>
      <c r="T12" s="15">
        <v>4</v>
      </c>
      <c r="U12" s="15">
        <v>5</v>
      </c>
      <c r="V12" s="15">
        <v>4</v>
      </c>
      <c r="W12" s="15">
        <v>7</v>
      </c>
      <c r="X12" s="15">
        <v>5</v>
      </c>
      <c r="Y12" s="15">
        <v>7.9</v>
      </c>
      <c r="Z12" s="15">
        <v>7</v>
      </c>
      <c r="AA12" s="15">
        <v>7.5</v>
      </c>
      <c r="AB12" s="110"/>
      <c r="AC12" s="110"/>
      <c r="AD12" s="110"/>
      <c r="AE12" s="15">
        <v>7.8</v>
      </c>
      <c r="AF12" s="15">
        <v>7</v>
      </c>
      <c r="AG12" s="15">
        <v>7.8</v>
      </c>
      <c r="AH12" s="15">
        <v>8.5</v>
      </c>
      <c r="AI12" s="15">
        <v>7.9</v>
      </c>
      <c r="AJ12" s="16">
        <f t="shared" si="0"/>
        <v>162.40000000000003</v>
      </c>
      <c r="AK12" s="65">
        <f t="shared" si="1"/>
        <v>5.6000000000000014</v>
      </c>
    </row>
    <row r="13" spans="1:37" ht="15.5" x14ac:dyDescent="0.35">
      <c r="A13" s="8">
        <f>'Data Siswa'!A13</f>
        <v>12</v>
      </c>
      <c r="B13" s="77" t="str">
        <f>'Data Siswa'!B13</f>
        <v>MOCHAMMAD FIKRI</v>
      </c>
      <c r="C13" s="8" t="str">
        <f>'Data Siswa'!C13</f>
        <v>0471</v>
      </c>
      <c r="D13" s="15">
        <v>5</v>
      </c>
      <c r="E13" s="15">
        <v>4</v>
      </c>
      <c r="F13" s="15">
        <v>4</v>
      </c>
      <c r="G13" s="15">
        <v>4</v>
      </c>
      <c r="H13" s="15">
        <v>4</v>
      </c>
      <c r="I13" s="15">
        <v>4.5</v>
      </c>
      <c r="J13" s="15">
        <v>5</v>
      </c>
      <c r="K13" s="15">
        <v>4</v>
      </c>
      <c r="L13" s="15">
        <v>4</v>
      </c>
      <c r="M13" s="15">
        <v>5</v>
      </c>
      <c r="N13" s="15">
        <v>5.5</v>
      </c>
      <c r="O13" s="15">
        <v>7</v>
      </c>
      <c r="P13" s="15">
        <v>5</v>
      </c>
      <c r="Q13" s="15">
        <v>4</v>
      </c>
      <c r="R13" s="15">
        <v>4</v>
      </c>
      <c r="S13" s="15">
        <v>4.5</v>
      </c>
      <c r="T13" s="15">
        <v>4</v>
      </c>
      <c r="U13" s="15">
        <v>5</v>
      </c>
      <c r="V13" s="15">
        <v>4</v>
      </c>
      <c r="W13" s="15">
        <v>7</v>
      </c>
      <c r="X13" s="15">
        <v>6</v>
      </c>
      <c r="Y13" s="15">
        <v>8.1999999999999993</v>
      </c>
      <c r="Z13" s="15">
        <v>7</v>
      </c>
      <c r="AA13" s="15">
        <v>7</v>
      </c>
      <c r="AB13" s="110"/>
      <c r="AC13" s="110"/>
      <c r="AD13" s="110"/>
      <c r="AE13" s="15">
        <v>7.5</v>
      </c>
      <c r="AF13" s="15">
        <v>7</v>
      </c>
      <c r="AG13" s="15">
        <v>7.6</v>
      </c>
      <c r="AH13" s="15">
        <v>7.5</v>
      </c>
      <c r="AI13" s="15">
        <v>7.7</v>
      </c>
      <c r="AJ13" s="16">
        <f t="shared" si="0"/>
        <v>158.99999999999997</v>
      </c>
      <c r="AK13" s="65">
        <f t="shared" si="1"/>
        <v>5.4827586206896539</v>
      </c>
    </row>
    <row r="14" spans="1:37" ht="15.5" x14ac:dyDescent="0.35">
      <c r="A14" s="8">
        <f>'Data Siswa'!A14</f>
        <v>13</v>
      </c>
      <c r="B14" s="77" t="str">
        <f>'Data Siswa'!B14</f>
        <v>MUHAMAD ANDREAN</v>
      </c>
      <c r="C14" s="8" t="str">
        <f>'Data Siswa'!C14</f>
        <v>0472</v>
      </c>
      <c r="D14" s="15">
        <v>7.5</v>
      </c>
      <c r="E14" s="15">
        <v>7.5</v>
      </c>
      <c r="F14" s="15">
        <v>6.5</v>
      </c>
      <c r="G14" s="15">
        <v>8</v>
      </c>
      <c r="H14" s="15">
        <v>7</v>
      </c>
      <c r="I14" s="15">
        <v>8</v>
      </c>
      <c r="J14" s="15">
        <v>6</v>
      </c>
      <c r="K14" s="15">
        <v>7.5</v>
      </c>
      <c r="L14" s="15">
        <v>7</v>
      </c>
      <c r="M14" s="15">
        <v>5</v>
      </c>
      <c r="N14" s="15">
        <v>7.5</v>
      </c>
      <c r="O14" s="15">
        <v>6</v>
      </c>
      <c r="P14" s="15">
        <v>7.5</v>
      </c>
      <c r="Q14" s="15">
        <v>7.5</v>
      </c>
      <c r="R14" s="15">
        <v>7</v>
      </c>
      <c r="S14" s="15">
        <v>4.5</v>
      </c>
      <c r="T14" s="15">
        <v>7</v>
      </c>
      <c r="U14" s="15">
        <v>5</v>
      </c>
      <c r="V14" s="15">
        <v>7</v>
      </c>
      <c r="W14" s="15">
        <v>7</v>
      </c>
      <c r="X14" s="15">
        <v>5</v>
      </c>
      <c r="Y14" s="15">
        <v>7.7</v>
      </c>
      <c r="Z14" s="15">
        <v>7.8</v>
      </c>
      <c r="AA14" s="15">
        <v>7.5</v>
      </c>
      <c r="AB14" s="110"/>
      <c r="AC14" s="110"/>
      <c r="AD14" s="110"/>
      <c r="AE14" s="15">
        <v>7.9</v>
      </c>
      <c r="AF14" s="15">
        <v>7.5</v>
      </c>
      <c r="AG14" s="15">
        <v>9</v>
      </c>
      <c r="AH14" s="15">
        <v>8</v>
      </c>
      <c r="AI14" s="15">
        <v>8.1999999999999993</v>
      </c>
      <c r="AJ14" s="16">
        <f t="shared" si="0"/>
        <v>204.6</v>
      </c>
      <c r="AK14" s="65">
        <f t="shared" si="1"/>
        <v>7.0551724137931036</v>
      </c>
    </row>
    <row r="15" spans="1:37" ht="15.5" x14ac:dyDescent="0.35">
      <c r="A15" s="8">
        <f>'Data Siswa'!A15</f>
        <v>14</v>
      </c>
      <c r="B15" s="77" t="str">
        <f>'Data Siswa'!B15</f>
        <v>MUHAMAD FEBRIANSYAH</v>
      </c>
      <c r="C15" s="8" t="str">
        <f>'Data Siswa'!C15</f>
        <v>0473</v>
      </c>
      <c r="D15" s="15">
        <v>6.5</v>
      </c>
      <c r="E15" s="15">
        <v>4</v>
      </c>
      <c r="F15" s="15">
        <v>4</v>
      </c>
      <c r="G15" s="15">
        <v>4</v>
      </c>
      <c r="H15" s="15">
        <v>4</v>
      </c>
      <c r="I15" s="15">
        <v>4.5</v>
      </c>
      <c r="J15" s="15">
        <v>5</v>
      </c>
      <c r="K15" s="15">
        <v>4</v>
      </c>
      <c r="L15" s="15">
        <v>4</v>
      </c>
      <c r="M15" s="15">
        <v>5</v>
      </c>
      <c r="N15" s="15">
        <v>5.8</v>
      </c>
      <c r="O15" s="15">
        <v>7</v>
      </c>
      <c r="P15" s="15">
        <v>6.5</v>
      </c>
      <c r="Q15" s="15">
        <v>4</v>
      </c>
      <c r="R15" s="15">
        <v>4</v>
      </c>
      <c r="S15" s="15">
        <v>4.5</v>
      </c>
      <c r="T15" s="15">
        <v>4</v>
      </c>
      <c r="U15" s="15">
        <v>4.5</v>
      </c>
      <c r="V15" s="15">
        <v>5</v>
      </c>
      <c r="W15" s="15">
        <v>7</v>
      </c>
      <c r="X15" s="15">
        <v>5.5</v>
      </c>
      <c r="Y15" s="15">
        <v>7.9</v>
      </c>
      <c r="Z15" s="15">
        <v>7.8</v>
      </c>
      <c r="AA15" s="15">
        <v>7.5</v>
      </c>
      <c r="AB15" s="110"/>
      <c r="AC15" s="110"/>
      <c r="AD15" s="110"/>
      <c r="AE15" s="15">
        <v>8</v>
      </c>
      <c r="AF15" s="15">
        <v>8</v>
      </c>
      <c r="AG15" s="15">
        <v>7.8</v>
      </c>
      <c r="AH15" s="15">
        <v>7.5</v>
      </c>
      <c r="AI15" s="15">
        <v>8</v>
      </c>
      <c r="AJ15" s="16">
        <f t="shared" si="0"/>
        <v>165.3</v>
      </c>
      <c r="AK15" s="65">
        <f t="shared" si="1"/>
        <v>5.7</v>
      </c>
    </row>
    <row r="16" spans="1:37" ht="15.5" x14ac:dyDescent="0.35">
      <c r="A16" s="8">
        <f>'Data Siswa'!A16</f>
        <v>15</v>
      </c>
      <c r="B16" s="77" t="str">
        <f>'Data Siswa'!B16</f>
        <v>MUHAMAD HILMAN</v>
      </c>
      <c r="C16" s="8" t="str">
        <f>'Data Siswa'!C16</f>
        <v>0474</v>
      </c>
      <c r="D16" s="15">
        <v>6.8</v>
      </c>
      <c r="E16" s="15">
        <v>6.5</v>
      </c>
      <c r="F16" s="15">
        <v>5.5</v>
      </c>
      <c r="G16" s="15">
        <v>5.5</v>
      </c>
      <c r="H16" s="15">
        <v>5</v>
      </c>
      <c r="I16" s="15">
        <v>8</v>
      </c>
      <c r="J16" s="15">
        <v>4</v>
      </c>
      <c r="K16" s="15">
        <v>6.5</v>
      </c>
      <c r="L16" s="15">
        <v>8</v>
      </c>
      <c r="M16" s="15">
        <v>4</v>
      </c>
      <c r="N16" s="15">
        <v>8</v>
      </c>
      <c r="O16" s="15">
        <v>6</v>
      </c>
      <c r="P16" s="15">
        <v>6.8</v>
      </c>
      <c r="Q16" s="15">
        <v>7</v>
      </c>
      <c r="R16" s="15">
        <v>5</v>
      </c>
      <c r="S16" s="15">
        <v>4.5</v>
      </c>
      <c r="T16" s="15">
        <v>7</v>
      </c>
      <c r="U16" s="15">
        <v>5</v>
      </c>
      <c r="V16" s="15">
        <v>7</v>
      </c>
      <c r="W16" s="15">
        <v>7</v>
      </c>
      <c r="X16" s="15">
        <v>5</v>
      </c>
      <c r="Y16" s="15">
        <v>7.9</v>
      </c>
      <c r="Z16" s="15">
        <v>8</v>
      </c>
      <c r="AA16" s="15">
        <v>7</v>
      </c>
      <c r="AB16" s="110"/>
      <c r="AC16" s="110"/>
      <c r="AD16" s="110"/>
      <c r="AE16" s="15">
        <v>8.3000000000000007</v>
      </c>
      <c r="AF16" s="15">
        <v>8</v>
      </c>
      <c r="AG16" s="15">
        <v>7.8</v>
      </c>
      <c r="AH16" s="15">
        <v>7.5</v>
      </c>
      <c r="AI16" s="15">
        <v>7.7</v>
      </c>
      <c r="AJ16" s="16">
        <f t="shared" si="0"/>
        <v>190.3</v>
      </c>
      <c r="AK16" s="65">
        <f t="shared" si="1"/>
        <v>6.5620689655172422</v>
      </c>
    </row>
    <row r="17" spans="1:37" ht="15.5" x14ac:dyDescent="0.35">
      <c r="A17" s="8">
        <f>'Data Siswa'!A17</f>
        <v>16</v>
      </c>
      <c r="B17" s="77" t="str">
        <f>'Data Siswa'!B17</f>
        <v>MUHAMAD RIZKI FADILAH</v>
      </c>
      <c r="C17" s="8" t="str">
        <f>'Data Siswa'!C17</f>
        <v>0475</v>
      </c>
      <c r="D17" s="15">
        <v>6</v>
      </c>
      <c r="E17" s="15">
        <v>6.5</v>
      </c>
      <c r="F17" s="15">
        <v>5</v>
      </c>
      <c r="G17" s="15">
        <v>5</v>
      </c>
      <c r="H17" s="15">
        <v>4</v>
      </c>
      <c r="I17" s="15">
        <v>5.5</v>
      </c>
      <c r="J17" s="15">
        <v>5</v>
      </c>
      <c r="K17" s="15">
        <v>7</v>
      </c>
      <c r="L17" s="15">
        <v>5</v>
      </c>
      <c r="M17" s="15">
        <v>4.5</v>
      </c>
      <c r="N17" s="15">
        <v>6.8</v>
      </c>
      <c r="O17" s="15">
        <v>5</v>
      </c>
      <c r="P17" s="15">
        <v>6</v>
      </c>
      <c r="Q17" s="15">
        <v>6.5</v>
      </c>
      <c r="R17" s="15">
        <v>8</v>
      </c>
      <c r="S17" s="15">
        <v>4.5</v>
      </c>
      <c r="T17" s="15">
        <v>6.5</v>
      </c>
      <c r="U17" s="15">
        <v>4</v>
      </c>
      <c r="V17" s="15">
        <v>4</v>
      </c>
      <c r="W17" s="15">
        <v>7</v>
      </c>
      <c r="X17" s="15">
        <v>6</v>
      </c>
      <c r="Y17" s="15">
        <v>7.9</v>
      </c>
      <c r="Z17" s="15">
        <v>7</v>
      </c>
      <c r="AA17" s="15">
        <v>7</v>
      </c>
      <c r="AB17" s="110"/>
      <c r="AC17" s="110"/>
      <c r="AD17" s="110"/>
      <c r="AE17" s="15">
        <v>8.1999999999999993</v>
      </c>
      <c r="AF17" s="15">
        <v>7</v>
      </c>
      <c r="AG17" s="15">
        <v>7.8</v>
      </c>
      <c r="AH17" s="15">
        <v>7.5</v>
      </c>
      <c r="AI17" s="15">
        <v>7.7</v>
      </c>
      <c r="AJ17" s="16">
        <f t="shared" si="0"/>
        <v>177.89999999999998</v>
      </c>
      <c r="AK17" s="65">
        <f t="shared" si="1"/>
        <v>6.1344827586206891</v>
      </c>
    </row>
    <row r="18" spans="1:37" ht="15.5" x14ac:dyDescent="0.35">
      <c r="A18" s="8">
        <f>'Data Siswa'!A18</f>
        <v>17</v>
      </c>
      <c r="B18" s="77" t="str">
        <f>'Data Siswa'!B18</f>
        <v>MUHAMAD YUSUF IRFAN</v>
      </c>
      <c r="C18" s="8" t="str">
        <f>'Data Siswa'!C18</f>
        <v>0476</v>
      </c>
      <c r="D18" s="15">
        <v>5</v>
      </c>
      <c r="E18" s="15">
        <v>5</v>
      </c>
      <c r="F18" s="15">
        <v>4</v>
      </c>
      <c r="G18" s="15">
        <v>4</v>
      </c>
      <c r="H18" s="15">
        <v>4</v>
      </c>
      <c r="I18" s="15">
        <v>5</v>
      </c>
      <c r="J18" s="15">
        <v>5</v>
      </c>
      <c r="K18" s="15">
        <v>5.5</v>
      </c>
      <c r="L18" s="15">
        <v>4</v>
      </c>
      <c r="M18" s="15">
        <v>4.5</v>
      </c>
      <c r="N18" s="15">
        <v>5</v>
      </c>
      <c r="O18" s="15">
        <v>6</v>
      </c>
      <c r="P18" s="15">
        <v>5</v>
      </c>
      <c r="Q18" s="15">
        <v>4</v>
      </c>
      <c r="R18" s="15">
        <v>4</v>
      </c>
      <c r="S18" s="15">
        <v>4.5</v>
      </c>
      <c r="T18" s="15">
        <v>4.5</v>
      </c>
      <c r="U18" s="15">
        <v>4.5</v>
      </c>
      <c r="V18" s="15">
        <v>4.5</v>
      </c>
      <c r="W18" s="15">
        <v>7</v>
      </c>
      <c r="X18" s="15">
        <v>5.5</v>
      </c>
      <c r="Y18" s="15">
        <v>7.9</v>
      </c>
      <c r="Z18" s="15">
        <v>7</v>
      </c>
      <c r="AA18" s="15">
        <v>7</v>
      </c>
      <c r="AB18" s="110"/>
      <c r="AC18" s="110"/>
      <c r="AD18" s="110"/>
      <c r="AE18" s="15">
        <v>7.5</v>
      </c>
      <c r="AF18" s="15">
        <v>8</v>
      </c>
      <c r="AG18" s="15">
        <v>7.8</v>
      </c>
      <c r="AH18" s="15">
        <v>7.5</v>
      </c>
      <c r="AI18" s="15">
        <v>7.8</v>
      </c>
      <c r="AJ18" s="16">
        <f t="shared" si="0"/>
        <v>161.00000000000003</v>
      </c>
      <c r="AK18" s="65">
        <f t="shared" si="1"/>
        <v>5.5517241379310356</v>
      </c>
    </row>
    <row r="19" spans="1:37" ht="15.5" x14ac:dyDescent="0.35">
      <c r="A19" s="8">
        <f>'Data Siswa'!A19</f>
        <v>18</v>
      </c>
      <c r="B19" s="77" t="str">
        <f>'Data Siswa'!B19</f>
        <v>MUHAMAD ZIDAN</v>
      </c>
      <c r="C19" s="8" t="str">
        <f>'Data Siswa'!C19</f>
        <v>0477</v>
      </c>
      <c r="D19" s="15">
        <v>5.5</v>
      </c>
      <c r="E19" s="15">
        <v>5.5</v>
      </c>
      <c r="F19" s="15">
        <v>4</v>
      </c>
      <c r="G19" s="15">
        <v>4</v>
      </c>
      <c r="H19" s="15">
        <v>4</v>
      </c>
      <c r="I19" s="15">
        <v>5</v>
      </c>
      <c r="J19" s="15">
        <v>5</v>
      </c>
      <c r="K19" s="15">
        <v>4.5</v>
      </c>
      <c r="L19" s="15">
        <v>4.5</v>
      </c>
      <c r="M19" s="15">
        <v>4.5</v>
      </c>
      <c r="N19" s="15">
        <v>5.5</v>
      </c>
      <c r="O19" s="15">
        <v>6.5</v>
      </c>
      <c r="P19" s="15">
        <v>5.5</v>
      </c>
      <c r="Q19" s="15">
        <v>4</v>
      </c>
      <c r="R19" s="15">
        <v>4</v>
      </c>
      <c r="S19" s="15">
        <v>4.5</v>
      </c>
      <c r="T19" s="15">
        <v>4.5</v>
      </c>
      <c r="U19" s="15">
        <v>5</v>
      </c>
      <c r="V19" s="15">
        <v>4</v>
      </c>
      <c r="W19" s="15">
        <v>7</v>
      </c>
      <c r="X19" s="15">
        <v>5</v>
      </c>
      <c r="Y19" s="15">
        <v>7.9</v>
      </c>
      <c r="Z19" s="15">
        <v>7</v>
      </c>
      <c r="AA19" s="15">
        <v>8.5</v>
      </c>
      <c r="AB19" s="110"/>
      <c r="AC19" s="110"/>
      <c r="AD19" s="110"/>
      <c r="AE19" s="15">
        <v>7.8</v>
      </c>
      <c r="AF19" s="15">
        <v>7</v>
      </c>
      <c r="AG19" s="15">
        <v>7.8</v>
      </c>
      <c r="AH19" s="15">
        <v>7.5</v>
      </c>
      <c r="AI19" s="15">
        <v>7.8</v>
      </c>
      <c r="AJ19" s="16">
        <f t="shared" si="0"/>
        <v>163.30000000000004</v>
      </c>
      <c r="AK19" s="65">
        <f t="shared" si="1"/>
        <v>5.6310344827586221</v>
      </c>
    </row>
    <row r="20" spans="1:37" ht="15.5" x14ac:dyDescent="0.35">
      <c r="A20" s="8">
        <f>'Data Siswa'!A20</f>
        <v>19</v>
      </c>
      <c r="B20" s="77" t="str">
        <f>'Data Siswa'!B20</f>
        <v>MUHAMMAD AZIZ ABDIYANTO</v>
      </c>
      <c r="C20" s="8" t="str">
        <f>'Data Siswa'!C20</f>
        <v>0478</v>
      </c>
      <c r="D20" s="15">
        <v>6.5</v>
      </c>
      <c r="E20" s="15">
        <v>6</v>
      </c>
      <c r="F20" s="15">
        <v>4</v>
      </c>
      <c r="G20" s="15">
        <v>4</v>
      </c>
      <c r="H20" s="15">
        <v>4</v>
      </c>
      <c r="I20" s="15">
        <v>4.5</v>
      </c>
      <c r="J20" s="15">
        <v>5</v>
      </c>
      <c r="K20" s="15">
        <v>4.5</v>
      </c>
      <c r="L20" s="15">
        <v>4.5</v>
      </c>
      <c r="M20" s="15">
        <v>5</v>
      </c>
      <c r="N20" s="15">
        <v>6</v>
      </c>
      <c r="O20" s="15">
        <v>5.5</v>
      </c>
      <c r="P20" s="15">
        <v>6.5</v>
      </c>
      <c r="Q20" s="15">
        <v>4</v>
      </c>
      <c r="R20" s="15">
        <v>4</v>
      </c>
      <c r="S20" s="15">
        <v>4.5</v>
      </c>
      <c r="T20" s="15">
        <v>4.5</v>
      </c>
      <c r="U20" s="15">
        <v>4</v>
      </c>
      <c r="V20" s="15">
        <v>4</v>
      </c>
      <c r="W20" s="15">
        <v>7</v>
      </c>
      <c r="X20" s="15">
        <v>5.5</v>
      </c>
      <c r="Y20" s="15">
        <v>8.3000000000000007</v>
      </c>
      <c r="Z20" s="15">
        <v>7</v>
      </c>
      <c r="AA20" s="15">
        <v>7</v>
      </c>
      <c r="AB20" s="110"/>
      <c r="AC20" s="110"/>
      <c r="AD20" s="110"/>
      <c r="AE20" s="15">
        <v>7.9</v>
      </c>
      <c r="AF20" s="15">
        <v>7.5</v>
      </c>
      <c r="AG20" s="15">
        <v>8.5</v>
      </c>
      <c r="AH20" s="15">
        <v>8</v>
      </c>
      <c r="AI20" s="15">
        <v>7.8</v>
      </c>
      <c r="AJ20" s="16">
        <f t="shared" si="0"/>
        <v>165.5</v>
      </c>
      <c r="AK20" s="65">
        <f t="shared" si="1"/>
        <v>5.7068965517241379</v>
      </c>
    </row>
    <row r="21" spans="1:37" ht="15.5" x14ac:dyDescent="0.35">
      <c r="A21" s="8">
        <f>'Data Siswa'!A21</f>
        <v>20</v>
      </c>
      <c r="B21" s="77" t="str">
        <f>'Data Siswa'!B21</f>
        <v>MUHAMMAD TANZILUL MUNZIAT</v>
      </c>
      <c r="C21" s="8" t="str">
        <f>'Data Siswa'!C21</f>
        <v>0479</v>
      </c>
      <c r="D21" s="15">
        <v>6</v>
      </c>
      <c r="E21" s="15">
        <v>4.5</v>
      </c>
      <c r="F21" s="15">
        <v>4.5</v>
      </c>
      <c r="G21" s="15">
        <v>4</v>
      </c>
      <c r="H21" s="15">
        <v>4</v>
      </c>
      <c r="I21" s="15">
        <v>4.5</v>
      </c>
      <c r="J21" s="15">
        <v>5</v>
      </c>
      <c r="K21" s="15">
        <v>4.5</v>
      </c>
      <c r="L21" s="15">
        <v>4.5</v>
      </c>
      <c r="M21" s="15">
        <v>4.5</v>
      </c>
      <c r="N21" s="15">
        <v>5</v>
      </c>
      <c r="O21" s="15">
        <v>5</v>
      </c>
      <c r="P21" s="15">
        <v>6</v>
      </c>
      <c r="Q21" s="15">
        <v>4.5</v>
      </c>
      <c r="R21" s="15">
        <v>4</v>
      </c>
      <c r="S21" s="15">
        <v>5</v>
      </c>
      <c r="T21" s="15">
        <v>4.5</v>
      </c>
      <c r="U21" s="15">
        <v>4.5</v>
      </c>
      <c r="V21" s="15">
        <v>4.5</v>
      </c>
      <c r="W21" s="15">
        <v>7</v>
      </c>
      <c r="X21" s="15">
        <v>6.5</v>
      </c>
      <c r="Y21" s="15">
        <v>7.8</v>
      </c>
      <c r="Z21" s="15">
        <v>7</v>
      </c>
      <c r="AA21" s="15">
        <v>7</v>
      </c>
      <c r="AB21" s="110"/>
      <c r="AC21" s="110"/>
      <c r="AD21" s="110"/>
      <c r="AE21" s="15">
        <v>7.7</v>
      </c>
      <c r="AF21" s="15">
        <v>7</v>
      </c>
      <c r="AG21" s="15">
        <v>7.7</v>
      </c>
      <c r="AH21" s="15">
        <v>7.5</v>
      </c>
      <c r="AI21" s="15">
        <v>7.7</v>
      </c>
      <c r="AJ21" s="16">
        <f t="shared" si="0"/>
        <v>161.89999999999998</v>
      </c>
      <c r="AK21" s="65">
        <f t="shared" si="1"/>
        <v>5.5827586206896544</v>
      </c>
    </row>
    <row r="22" spans="1:37" ht="15.5" x14ac:dyDescent="0.35">
      <c r="A22" s="8">
        <f>'Data Siswa'!A22</f>
        <v>21</v>
      </c>
      <c r="B22" s="77" t="str">
        <f>'Data Siswa'!B22</f>
        <v>MUHAMMAD WILDANUL HUDA</v>
      </c>
      <c r="C22" s="8" t="str">
        <f>'Data Siswa'!C22</f>
        <v>0480</v>
      </c>
      <c r="D22" s="15">
        <v>6</v>
      </c>
      <c r="E22" s="15">
        <v>4.5</v>
      </c>
      <c r="F22" s="15">
        <v>4.5</v>
      </c>
      <c r="G22" s="15">
        <v>4</v>
      </c>
      <c r="H22" s="15">
        <v>4</v>
      </c>
      <c r="I22" s="15">
        <v>5</v>
      </c>
      <c r="J22" s="15">
        <v>5</v>
      </c>
      <c r="K22" s="15">
        <v>4.5</v>
      </c>
      <c r="L22" s="15">
        <v>4</v>
      </c>
      <c r="M22" s="15">
        <v>4.5</v>
      </c>
      <c r="N22" s="15">
        <v>5.5</v>
      </c>
      <c r="O22" s="15">
        <v>5.5</v>
      </c>
      <c r="P22" s="15">
        <v>6</v>
      </c>
      <c r="Q22" s="15">
        <v>4</v>
      </c>
      <c r="R22" s="15">
        <v>4</v>
      </c>
      <c r="S22" s="15">
        <v>4.5</v>
      </c>
      <c r="T22" s="15">
        <v>4</v>
      </c>
      <c r="U22" s="15">
        <v>5.5</v>
      </c>
      <c r="V22" s="15">
        <v>4</v>
      </c>
      <c r="W22" s="15">
        <v>7</v>
      </c>
      <c r="X22" s="15">
        <v>5</v>
      </c>
      <c r="Y22" s="15">
        <v>7.8</v>
      </c>
      <c r="Z22" s="15">
        <v>7</v>
      </c>
      <c r="AA22" s="15">
        <v>7.5</v>
      </c>
      <c r="AB22" s="110"/>
      <c r="AC22" s="110"/>
      <c r="AD22" s="110"/>
      <c r="AE22" s="15">
        <v>7.8</v>
      </c>
      <c r="AF22" s="15">
        <v>7.5</v>
      </c>
      <c r="AG22" s="15">
        <v>7.8</v>
      </c>
      <c r="AH22" s="15">
        <v>7.5</v>
      </c>
      <c r="AI22" s="15">
        <v>7.8</v>
      </c>
      <c r="AJ22" s="16">
        <f t="shared" si="0"/>
        <v>161.70000000000002</v>
      </c>
      <c r="AK22" s="65">
        <f t="shared" si="1"/>
        <v>5.5758620689655176</v>
      </c>
    </row>
    <row r="23" spans="1:37" ht="15.5" x14ac:dyDescent="0.35">
      <c r="A23" s="8">
        <f>'Data Siswa'!A23</f>
        <v>22</v>
      </c>
      <c r="B23" s="77" t="str">
        <f>'Data Siswa'!B23</f>
        <v>NAUFAL RIZKIA AL THAF</v>
      </c>
      <c r="C23" s="8" t="str">
        <f>'Data Siswa'!C23</f>
        <v>0481</v>
      </c>
      <c r="D23" s="15">
        <v>5.5</v>
      </c>
      <c r="E23" s="15">
        <v>4.5</v>
      </c>
      <c r="F23" s="15">
        <v>4</v>
      </c>
      <c r="G23" s="15">
        <v>4</v>
      </c>
      <c r="H23" s="15">
        <v>4</v>
      </c>
      <c r="I23" s="15">
        <v>4.5</v>
      </c>
      <c r="J23" s="15">
        <v>5</v>
      </c>
      <c r="K23" s="15">
        <v>4.5</v>
      </c>
      <c r="L23" s="15">
        <v>4</v>
      </c>
      <c r="M23" s="15">
        <v>5</v>
      </c>
      <c r="N23" s="15">
        <v>5</v>
      </c>
      <c r="O23" s="15">
        <v>5</v>
      </c>
      <c r="P23" s="15">
        <v>5.5</v>
      </c>
      <c r="Q23" s="15">
        <v>4</v>
      </c>
      <c r="R23" s="15">
        <v>4</v>
      </c>
      <c r="S23" s="15">
        <v>4.5</v>
      </c>
      <c r="T23" s="15">
        <v>4</v>
      </c>
      <c r="U23" s="15">
        <v>5</v>
      </c>
      <c r="V23" s="15">
        <v>4</v>
      </c>
      <c r="W23" s="15">
        <v>7</v>
      </c>
      <c r="X23" s="15">
        <v>5</v>
      </c>
      <c r="Y23" s="15">
        <v>7.8</v>
      </c>
      <c r="Z23" s="15">
        <v>7</v>
      </c>
      <c r="AA23" s="15">
        <v>7</v>
      </c>
      <c r="AB23" s="110"/>
      <c r="AC23" s="110"/>
      <c r="AD23" s="110"/>
      <c r="AE23" s="15">
        <v>7.8</v>
      </c>
      <c r="AF23" s="15">
        <v>7</v>
      </c>
      <c r="AG23" s="15">
        <v>7.7</v>
      </c>
      <c r="AH23" s="15">
        <v>7.5</v>
      </c>
      <c r="AI23" s="15">
        <v>7.7</v>
      </c>
      <c r="AJ23" s="16">
        <f t="shared" si="0"/>
        <v>157.49999999999997</v>
      </c>
      <c r="AK23" s="65">
        <f t="shared" si="1"/>
        <v>5.4310344827586201</v>
      </c>
    </row>
    <row r="24" spans="1:37" ht="15.5" x14ac:dyDescent="0.35">
      <c r="A24" s="8">
        <f>'Data Siswa'!A24</f>
        <v>23</v>
      </c>
      <c r="B24" s="77" t="str">
        <f>'Data Siswa'!B24</f>
        <v>ROHIN ARPINAS</v>
      </c>
      <c r="C24" s="8" t="str">
        <f>'Data Siswa'!C24</f>
        <v>0482</v>
      </c>
      <c r="D24" s="15">
        <v>5.5</v>
      </c>
      <c r="E24" s="15">
        <v>5</v>
      </c>
      <c r="F24" s="15">
        <v>4</v>
      </c>
      <c r="G24" s="15">
        <v>4</v>
      </c>
      <c r="H24" s="15">
        <v>4</v>
      </c>
      <c r="I24" s="15">
        <v>4</v>
      </c>
      <c r="J24" s="15">
        <v>5</v>
      </c>
      <c r="K24" s="15">
        <v>4</v>
      </c>
      <c r="L24" s="15">
        <v>4</v>
      </c>
      <c r="M24" s="15">
        <v>5</v>
      </c>
      <c r="N24" s="15">
        <v>5.5</v>
      </c>
      <c r="O24" s="15">
        <v>6</v>
      </c>
      <c r="P24" s="15">
        <v>5.5</v>
      </c>
      <c r="Q24" s="15">
        <v>4</v>
      </c>
      <c r="R24" s="15">
        <v>4</v>
      </c>
      <c r="S24" s="15">
        <v>4.5</v>
      </c>
      <c r="T24" s="15">
        <v>4.5</v>
      </c>
      <c r="U24" s="15">
        <v>5</v>
      </c>
      <c r="V24" s="15">
        <v>4</v>
      </c>
      <c r="W24" s="15">
        <v>7</v>
      </c>
      <c r="X24" s="15">
        <v>5</v>
      </c>
      <c r="Y24" s="15">
        <v>8.1999999999999993</v>
      </c>
      <c r="Z24" s="15">
        <v>7</v>
      </c>
      <c r="AA24" s="15">
        <v>8.5</v>
      </c>
      <c r="AB24" s="110"/>
      <c r="AC24" s="110"/>
      <c r="AD24" s="110"/>
      <c r="AE24" s="15">
        <v>8.1</v>
      </c>
      <c r="AF24" s="15">
        <v>7</v>
      </c>
      <c r="AG24" s="15">
        <v>9</v>
      </c>
      <c r="AH24" s="15">
        <v>7.5</v>
      </c>
      <c r="AI24" s="15">
        <v>7.8</v>
      </c>
      <c r="AJ24" s="16">
        <f t="shared" si="0"/>
        <v>162.60000000000002</v>
      </c>
      <c r="AK24" s="65">
        <f t="shared" si="1"/>
        <v>5.6068965517241391</v>
      </c>
    </row>
    <row r="25" spans="1:37" ht="15.5" x14ac:dyDescent="0.35">
      <c r="A25" s="8">
        <f>'Data Siswa'!A25</f>
        <v>24</v>
      </c>
      <c r="B25" s="77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10"/>
      <c r="AC25" s="110"/>
      <c r="AD25" s="110"/>
      <c r="AE25" s="15"/>
      <c r="AF25" s="15"/>
      <c r="AG25" s="15"/>
      <c r="AH25" s="15"/>
      <c r="AI25" s="15"/>
      <c r="AJ25" s="16">
        <f t="shared" si="0"/>
        <v>0</v>
      </c>
      <c r="AK25" s="65" t="e">
        <f t="shared" si="1"/>
        <v>#DIV/0!</v>
      </c>
    </row>
    <row r="26" spans="1:37" ht="15.5" x14ac:dyDescent="0.35">
      <c r="A26" s="8">
        <f>'Data Siswa'!A26</f>
        <v>25</v>
      </c>
      <c r="B26" s="77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10"/>
      <c r="AC26" s="110"/>
      <c r="AD26" s="110"/>
      <c r="AE26" s="15"/>
      <c r="AF26" s="15"/>
      <c r="AG26" s="15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7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10"/>
      <c r="AC27" s="110"/>
      <c r="AD27" s="110"/>
      <c r="AE27" s="15"/>
      <c r="AF27" s="15"/>
      <c r="AG27" s="15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7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10"/>
      <c r="AC28" s="110"/>
      <c r="AD28" s="110"/>
      <c r="AE28" s="15"/>
      <c r="AF28" s="15"/>
      <c r="AG28" s="15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7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10"/>
      <c r="AC29" s="110"/>
      <c r="AD29" s="110"/>
      <c r="AE29" s="15"/>
      <c r="AF29" s="15"/>
      <c r="AG29" s="15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10"/>
      <c r="AC30" s="110"/>
      <c r="AD30" s="110"/>
      <c r="AE30" s="15"/>
      <c r="AF30" s="15"/>
      <c r="AG30" s="15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10"/>
      <c r="AC31" s="110"/>
      <c r="AD31" s="110"/>
      <c r="AE31" s="15"/>
      <c r="AF31" s="15"/>
      <c r="AG31" s="15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10"/>
      <c r="AC32" s="110"/>
      <c r="AD32" s="110"/>
      <c r="AE32" s="15"/>
      <c r="AF32" s="15"/>
      <c r="AG32" s="15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10"/>
      <c r="AC33" s="110"/>
      <c r="AD33" s="110"/>
      <c r="AE33" s="15"/>
      <c r="AF33" s="15"/>
      <c r="AG33" s="15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10"/>
      <c r="AC34" s="110"/>
      <c r="AD34" s="110"/>
      <c r="AE34" s="15"/>
      <c r="AF34" s="15"/>
      <c r="AG34" s="15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10"/>
      <c r="AC35" s="110"/>
      <c r="AD35" s="110"/>
      <c r="AE35" s="15"/>
      <c r="AF35" s="15"/>
      <c r="AG35" s="15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0"/>
      <c r="AC36" s="110"/>
      <c r="AD36" s="110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0"/>
      <c r="AC37" s="110"/>
      <c r="AD37" s="110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0"/>
      <c r="AC38" s="110"/>
      <c r="AD38" s="110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0"/>
      <c r="AC39" s="110"/>
      <c r="AD39" s="110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0"/>
      <c r="AC40" s="110"/>
      <c r="AD40" s="110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0"/>
      <c r="AC41" s="110"/>
      <c r="AD41" s="110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zoomScale="85" zoomScaleNormal="85" workbookViewId="0">
      <selection activeCell="T7" sqref="T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4" t="s">
        <v>176</v>
      </c>
      <c r="B1" s="145"/>
      <c r="C1" s="146"/>
      <c r="D1" s="147" t="s">
        <v>177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9"/>
      <c r="V1" s="154"/>
      <c r="W1" s="156" t="s">
        <v>175</v>
      </c>
      <c r="X1" s="157"/>
      <c r="Y1" s="158"/>
      <c r="Z1" s="71" t="s">
        <v>170</v>
      </c>
    </row>
    <row r="2" spans="1:26" ht="19.5" customHeight="1" x14ac:dyDescent="0.35">
      <c r="A2" s="152" t="s">
        <v>76</v>
      </c>
      <c r="B2" s="150" t="s">
        <v>55</v>
      </c>
      <c r="C2" s="152" t="s">
        <v>54</v>
      </c>
      <c r="D2" s="150" t="s">
        <v>81</v>
      </c>
      <c r="E2" s="150"/>
      <c r="F2" s="150"/>
      <c r="G2" s="150"/>
      <c r="H2" s="150"/>
      <c r="I2" s="150"/>
      <c r="J2" s="141" t="s">
        <v>82</v>
      </c>
      <c r="K2" s="142"/>
      <c r="L2" s="142"/>
      <c r="M2" s="142"/>
      <c r="N2" s="143"/>
      <c r="O2" s="141" t="s">
        <v>83</v>
      </c>
      <c r="P2" s="142"/>
      <c r="Q2" s="142"/>
      <c r="R2" s="142"/>
      <c r="S2" s="143"/>
      <c r="T2" s="150" t="s">
        <v>27</v>
      </c>
      <c r="U2" s="151" t="s">
        <v>99</v>
      </c>
      <c r="V2" s="155"/>
      <c r="W2" s="159" t="s">
        <v>42</v>
      </c>
      <c r="X2" s="159" t="s">
        <v>99</v>
      </c>
      <c r="Y2" s="159" t="s">
        <v>90</v>
      </c>
      <c r="Z2" s="153" t="s">
        <v>179</v>
      </c>
    </row>
    <row r="3" spans="1:26" ht="85" customHeight="1" x14ac:dyDescent="0.35">
      <c r="A3" s="152"/>
      <c r="B3" s="150"/>
      <c r="C3" s="152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50"/>
      <c r="U3" s="151"/>
      <c r="V3" s="155"/>
      <c r="W3" s="160"/>
      <c r="X3" s="160"/>
      <c r="Y3" s="160"/>
      <c r="Z3" s="153"/>
    </row>
    <row r="4" spans="1:26" ht="15.5" x14ac:dyDescent="0.35">
      <c r="A4" s="8">
        <f>'Data Siswa'!A2</f>
        <v>1</v>
      </c>
      <c r="B4" s="101" t="str">
        <f>'Data Siswa'!B2</f>
        <v>AGUS SAEPULLOH</v>
      </c>
      <c r="C4" s="8" t="str">
        <f>'Data Siswa'!C2</f>
        <v>0460</v>
      </c>
      <c r="D4" s="15">
        <v>5.7</v>
      </c>
      <c r="E4" s="15">
        <v>5.5</v>
      </c>
      <c r="F4" s="15">
        <v>6</v>
      </c>
      <c r="G4" s="15">
        <v>5.5</v>
      </c>
      <c r="H4" s="15">
        <v>6.7</v>
      </c>
      <c r="I4" s="15">
        <v>6</v>
      </c>
      <c r="J4" s="15">
        <v>4.5</v>
      </c>
      <c r="K4" s="15">
        <v>4</v>
      </c>
      <c r="L4" s="15">
        <v>4.5</v>
      </c>
      <c r="M4" s="15">
        <v>5</v>
      </c>
      <c r="N4" s="15">
        <v>4.5</v>
      </c>
      <c r="O4" s="15">
        <v>6</v>
      </c>
      <c r="P4" s="15">
        <v>5.7</v>
      </c>
      <c r="Q4" s="15">
        <v>5.5</v>
      </c>
      <c r="R4" s="15">
        <v>6</v>
      </c>
      <c r="S4" s="15">
        <v>5</v>
      </c>
      <c r="T4" s="72">
        <f t="shared" ref="T4:T43" si="0">SUM(D4:S4)</f>
        <v>86.1</v>
      </c>
      <c r="U4" s="73">
        <f t="shared" ref="U4:U43" si="1">AVERAGE(D4:S4)</f>
        <v>5.3812499999999996</v>
      </c>
      <c r="V4" s="74"/>
      <c r="W4" s="72">
        <f>SUM('Nilai Tahriri'!AJ2,'Nilai Syafahi'!T4)</f>
        <v>246.1</v>
      </c>
      <c r="X4" s="73">
        <f>AVERAGE(D4:S4,'Nilai Tahriri'!D2:AI2)</f>
        <v>5.4688888888888885</v>
      </c>
      <c r="Y4" s="75">
        <f t="array" aca="1" ref="Y4" ca="1">SUM(IF(W4&lt;OFFSET($W$4,0,0,COUNT(W:W),1),1/COUNTIF(OFFSET($W$4,0,0,COUNT(W:W),1),OFFSET($W$4,0,0,COUNT(W:W),1))))+1</f>
        <v>13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ALIFXANDER NESTA SAFI'I</v>
      </c>
      <c r="C5" s="8" t="str">
        <f>'Data Siswa'!C3</f>
        <v>0461</v>
      </c>
      <c r="D5" s="15">
        <v>5</v>
      </c>
      <c r="E5" s="15">
        <v>4.5</v>
      </c>
      <c r="F5" s="15">
        <v>5.5</v>
      </c>
      <c r="G5" s="15">
        <v>6</v>
      </c>
      <c r="H5" s="15">
        <v>4.5</v>
      </c>
      <c r="I5" s="15">
        <v>5.7</v>
      </c>
      <c r="J5" s="15">
        <v>4</v>
      </c>
      <c r="K5" s="15">
        <v>4</v>
      </c>
      <c r="L5" s="15">
        <v>4</v>
      </c>
      <c r="M5" s="15">
        <v>5</v>
      </c>
      <c r="N5" s="15">
        <v>4.5</v>
      </c>
      <c r="O5" s="15">
        <v>5.7</v>
      </c>
      <c r="P5" s="15">
        <v>5</v>
      </c>
      <c r="Q5" s="15">
        <v>4.5</v>
      </c>
      <c r="R5" s="15">
        <v>5.5</v>
      </c>
      <c r="S5" s="15">
        <v>5</v>
      </c>
      <c r="T5" s="72">
        <f t="shared" si="0"/>
        <v>78.400000000000006</v>
      </c>
      <c r="U5" s="73">
        <f t="shared" si="1"/>
        <v>4.9000000000000004</v>
      </c>
      <c r="V5" s="74"/>
      <c r="W5" s="72">
        <f>SUM('Nilai Tahriri'!AJ3,'Nilai Syafahi'!T5)</f>
        <v>240</v>
      </c>
      <c r="X5" s="72">
        <f>AVERAGE(D5:S5,'Nilai Tahriri'!D3:AI3)</f>
        <v>5.333333333333333</v>
      </c>
      <c r="Y5" s="75">
        <f t="array" aca="1" ref="Y5" ca="1">SUM(IF(W5&lt;OFFSET($W$4,0,0,COUNT(W:W),1),1/COUNTIF(OFFSET($W$4,0,0,COUNT(W:W),1),OFFSET($W$4,0,0,COUNT(W:W),1))))+1</f>
        <v>20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ANAN WIDIANSYAH</v>
      </c>
      <c r="C6" s="8" t="str">
        <f>'Data Siswa'!C4</f>
        <v>0462</v>
      </c>
      <c r="D6" s="15">
        <v>5</v>
      </c>
      <c r="E6" s="15">
        <v>4.5</v>
      </c>
      <c r="F6" s="15">
        <v>5.2</v>
      </c>
      <c r="G6" s="15">
        <v>5</v>
      </c>
      <c r="H6" s="15">
        <v>5.7</v>
      </c>
      <c r="I6" s="15">
        <v>6</v>
      </c>
      <c r="J6" s="15">
        <v>4.5</v>
      </c>
      <c r="K6" s="15">
        <v>4.5</v>
      </c>
      <c r="L6" s="15">
        <v>4.5</v>
      </c>
      <c r="M6" s="15">
        <v>5</v>
      </c>
      <c r="N6" s="15">
        <v>4.5</v>
      </c>
      <c r="O6" s="15">
        <v>6</v>
      </c>
      <c r="P6" s="15">
        <v>5</v>
      </c>
      <c r="Q6" s="15">
        <v>4.5</v>
      </c>
      <c r="R6" s="15">
        <v>5.2</v>
      </c>
      <c r="S6" s="15">
        <v>5</v>
      </c>
      <c r="T6" s="72">
        <f t="shared" si="0"/>
        <v>80.100000000000009</v>
      </c>
      <c r="U6" s="73">
        <f t="shared" si="1"/>
        <v>5.0062500000000005</v>
      </c>
      <c r="V6" s="74"/>
      <c r="W6" s="72">
        <f>SUM('Nilai Tahriri'!AJ4,'Nilai Syafahi'!T6)</f>
        <v>240.5</v>
      </c>
      <c r="X6" s="72">
        <f>AVERAGE(D6:S6,'Nilai Tahriri'!D4:AI4)</f>
        <v>5.3444444444444441</v>
      </c>
      <c r="Y6" s="75">
        <f t="array" aca="1" ref="Y6" ca="1">SUM(IF(W6&lt;OFFSET($W$4,0,0,COUNT(W:W),1),1/COUNTIF(OFFSET($W$4,0,0,COUNT(W:W),1),OFFSET($W$4,0,0,COUNT(W:W),1))))+1</f>
        <v>19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DANIL RAMADHAN</v>
      </c>
      <c r="C7" s="8" t="str">
        <f>'Data Siswa'!C5</f>
        <v>0463</v>
      </c>
      <c r="D7" s="15">
        <v>5.7</v>
      </c>
      <c r="E7" s="15">
        <v>4.5</v>
      </c>
      <c r="F7" s="15">
        <v>5</v>
      </c>
      <c r="G7" s="15">
        <v>5.6</v>
      </c>
      <c r="H7" s="15">
        <v>5</v>
      </c>
      <c r="I7" s="15">
        <v>5.7</v>
      </c>
      <c r="J7" s="15">
        <v>4.5</v>
      </c>
      <c r="K7" s="15">
        <v>4.5</v>
      </c>
      <c r="L7" s="15">
        <v>4.5</v>
      </c>
      <c r="M7" s="15">
        <v>5</v>
      </c>
      <c r="N7" s="15">
        <v>5</v>
      </c>
      <c r="O7" s="15">
        <v>5.7</v>
      </c>
      <c r="P7" s="15">
        <v>5.7</v>
      </c>
      <c r="Q7" s="15">
        <v>4.5</v>
      </c>
      <c r="R7" s="15">
        <v>5</v>
      </c>
      <c r="S7" s="15">
        <v>5</v>
      </c>
      <c r="T7" s="72">
        <f t="shared" si="0"/>
        <v>80.900000000000006</v>
      </c>
      <c r="U7" s="73">
        <f t="shared" si="1"/>
        <v>5.0562500000000004</v>
      </c>
      <c r="V7" s="74"/>
      <c r="W7" s="72">
        <f>SUM('Nilai Tahriri'!AJ5,'Nilai Syafahi'!T7)</f>
        <v>241.1</v>
      </c>
      <c r="X7" s="72">
        <f>AVERAGE(D7:S7,'Nilai Tahriri'!D5:AI5)</f>
        <v>5.3577777777777778</v>
      </c>
      <c r="Y7" s="75">
        <f t="array" aca="1" ref="Y7" ca="1">SUM(IF(W7&lt;OFFSET($W$4,0,0,COUNT(W:W),1),1/COUNTIF(OFFSET($W$4,0,0,COUNT(W:W),1),OFFSET($W$4,0,0,COUNT(W:W),1))))+1</f>
        <v>18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FAHRI NUR AZIZ</v>
      </c>
      <c r="C8" s="8" t="str">
        <f>'Data Siswa'!C6</f>
        <v>0464</v>
      </c>
      <c r="D8" s="15">
        <v>5.7</v>
      </c>
      <c r="E8" s="15">
        <v>4.5</v>
      </c>
      <c r="F8" s="15">
        <v>5.5</v>
      </c>
      <c r="G8" s="15">
        <v>4.5</v>
      </c>
      <c r="H8" s="15">
        <v>5.4</v>
      </c>
      <c r="I8" s="15">
        <v>5.7</v>
      </c>
      <c r="J8" s="15">
        <v>4.5</v>
      </c>
      <c r="K8" s="15">
        <v>4.5</v>
      </c>
      <c r="L8" s="15">
        <v>4.5</v>
      </c>
      <c r="M8" s="15">
        <v>5</v>
      </c>
      <c r="N8" s="15">
        <v>5</v>
      </c>
      <c r="O8" s="15">
        <v>5.7</v>
      </c>
      <c r="P8" s="15">
        <v>5.7</v>
      </c>
      <c r="Q8" s="15">
        <v>4.5</v>
      </c>
      <c r="R8" s="15">
        <v>5.5</v>
      </c>
      <c r="S8" s="15">
        <v>5</v>
      </c>
      <c r="T8" s="72">
        <f t="shared" si="0"/>
        <v>81.2</v>
      </c>
      <c r="U8" s="73">
        <f t="shared" si="1"/>
        <v>5.0750000000000002</v>
      </c>
      <c r="V8" s="74"/>
      <c r="W8" s="72">
        <f>SUM('Nilai Tahriri'!AJ6,'Nilai Syafahi'!T8)</f>
        <v>239.8</v>
      </c>
      <c r="X8" s="72">
        <f>AVERAGE(D8:S8,'Nilai Tahriri'!D6:AI6)</f>
        <v>5.3288888888888888</v>
      </c>
      <c r="Y8" s="75">
        <f t="array" aca="1" ref="Y8" ca="1">SUM(IF(W8&lt;OFFSET($W$4,0,0,COUNT(W:W),1),1/COUNTIF(OFFSET($W$4,0,0,COUNT(W:W),1),OFFSET($W$4,0,0,COUNT(W:W),1))))+1</f>
        <v>21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FAISAL RAMADHAN</v>
      </c>
      <c r="C9" s="8" t="str">
        <f>'Data Siswa'!C7</f>
        <v>0465</v>
      </c>
      <c r="D9" s="15">
        <v>6</v>
      </c>
      <c r="E9" s="15">
        <v>5.5</v>
      </c>
      <c r="F9" s="15">
        <v>6</v>
      </c>
      <c r="G9" s="15">
        <v>7</v>
      </c>
      <c r="H9" s="15">
        <v>6.7</v>
      </c>
      <c r="I9" s="15">
        <v>6.6</v>
      </c>
      <c r="J9" s="15">
        <v>4.5</v>
      </c>
      <c r="K9" s="15">
        <v>4.5</v>
      </c>
      <c r="L9" s="15">
        <v>5</v>
      </c>
      <c r="M9" s="15">
        <v>5</v>
      </c>
      <c r="N9" s="15">
        <v>5</v>
      </c>
      <c r="O9" s="15">
        <v>6.6</v>
      </c>
      <c r="P9" s="15">
        <v>6</v>
      </c>
      <c r="Q9" s="15">
        <v>5.5</v>
      </c>
      <c r="R9" s="15">
        <v>6</v>
      </c>
      <c r="S9" s="15">
        <v>5</v>
      </c>
      <c r="T9" s="72">
        <f t="shared" si="0"/>
        <v>90.899999999999991</v>
      </c>
      <c r="U9" s="73">
        <f t="shared" si="1"/>
        <v>5.6812499999999995</v>
      </c>
      <c r="V9" s="74"/>
      <c r="W9" s="72">
        <f>SUM('Nilai Tahriri'!AJ7,'Nilai Syafahi'!T9)</f>
        <v>264.39999999999998</v>
      </c>
      <c r="X9" s="72">
        <f>AVERAGE(D9:S9,'Nilai Tahriri'!D7:AI7)</f>
        <v>5.8755555555555548</v>
      </c>
      <c r="Y9" s="75">
        <f t="array" aca="1" ref="Y9" ca="1">SUM(IF(W9&lt;OFFSET($W$4,0,0,COUNT(W:W),1),1/COUNTIF(OFFSET($W$4,0,0,COUNT(W:W),1),OFFSET($W$4,0,0,COUNT(W:W),1))))+1</f>
        <v>4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FIKI KURNIAWAN</v>
      </c>
      <c r="C10" s="8" t="str">
        <f>'Data Siswa'!C8</f>
        <v>0466</v>
      </c>
      <c r="D10" s="15">
        <v>5.7</v>
      </c>
      <c r="E10" s="15">
        <v>5.8</v>
      </c>
      <c r="F10" s="15">
        <v>6</v>
      </c>
      <c r="G10" s="15">
        <v>6</v>
      </c>
      <c r="H10" s="15">
        <v>5.9</v>
      </c>
      <c r="I10" s="15">
        <v>6</v>
      </c>
      <c r="J10" s="15">
        <v>5</v>
      </c>
      <c r="K10" s="15">
        <v>5.5</v>
      </c>
      <c r="L10" s="15">
        <v>5</v>
      </c>
      <c r="M10" s="15">
        <v>5</v>
      </c>
      <c r="N10" s="15">
        <v>5</v>
      </c>
      <c r="O10" s="15">
        <v>6</v>
      </c>
      <c r="P10" s="15">
        <v>5.7</v>
      </c>
      <c r="Q10" s="15">
        <v>5.8</v>
      </c>
      <c r="R10" s="15">
        <v>6</v>
      </c>
      <c r="S10" s="15">
        <v>5</v>
      </c>
      <c r="T10" s="72">
        <f t="shared" si="0"/>
        <v>89.4</v>
      </c>
      <c r="U10" s="73">
        <f t="shared" si="1"/>
        <v>5.5875000000000004</v>
      </c>
      <c r="V10" s="74"/>
      <c r="W10" s="72">
        <f>SUM('Nilai Tahriri'!AJ8,'Nilai Syafahi'!T10)</f>
        <v>261.70000000000005</v>
      </c>
      <c r="X10" s="72">
        <f>AVERAGE(D10:S10,'Nilai Tahriri'!D8:AI8)</f>
        <v>5.8155555555555569</v>
      </c>
      <c r="Y10" s="75">
        <f t="array" aca="1" ref="Y10" ca="1">SUM(IF(W10&lt;OFFSET($W$4,0,0,COUNT(W:W),1),1/COUNTIF(OFFSET($W$4,0,0,COUNT(W:W),1),OFFSET($W$4,0,0,COUNT(W:W),1))))+1</f>
        <v>5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IKHBAL FATUROKHMAN</v>
      </c>
      <c r="C11" s="8" t="str">
        <f>'Data Siswa'!C9</f>
        <v>0467</v>
      </c>
      <c r="D11" s="15">
        <v>6</v>
      </c>
      <c r="E11" s="15">
        <v>5.8</v>
      </c>
      <c r="F11" s="15">
        <v>6</v>
      </c>
      <c r="G11" s="15">
        <v>6</v>
      </c>
      <c r="H11" s="15">
        <v>6.2</v>
      </c>
      <c r="I11" s="15">
        <v>6</v>
      </c>
      <c r="J11" s="15">
        <v>5.5</v>
      </c>
      <c r="K11" s="15">
        <v>4.5</v>
      </c>
      <c r="L11" s="15">
        <v>4.5</v>
      </c>
      <c r="M11" s="15">
        <v>5</v>
      </c>
      <c r="N11" s="15">
        <v>5</v>
      </c>
      <c r="O11" s="15">
        <v>6</v>
      </c>
      <c r="P11" s="15">
        <v>6</v>
      </c>
      <c r="Q11" s="15">
        <v>5.8</v>
      </c>
      <c r="R11" s="15">
        <v>6</v>
      </c>
      <c r="S11" s="15">
        <v>5</v>
      </c>
      <c r="T11" s="72">
        <f t="shared" si="0"/>
        <v>89.3</v>
      </c>
      <c r="U11" s="73">
        <f t="shared" si="1"/>
        <v>5.5812499999999998</v>
      </c>
      <c r="V11" s="74"/>
      <c r="W11" s="72">
        <f>SUM('Nilai Tahriri'!AJ9,'Nilai Syafahi'!T11)</f>
        <v>261.10000000000002</v>
      </c>
      <c r="X11" s="72">
        <f>AVERAGE(D11:S11,'Nilai Tahriri'!D9:AI9)</f>
        <v>5.8022222222222224</v>
      </c>
      <c r="Y11" s="75">
        <f t="array" aca="1" ref="Y11" ca="1">SUM(IF(W11&lt;OFFSET($W$4,0,0,COUNT(W:W),1),1/COUNTIF(OFFSET($W$4,0,0,COUNT(W:W),1),OFFSET($W$4,0,0,COUNT(W:W),1))))+1</f>
        <v>6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ILHAM NUR WAHYU</v>
      </c>
      <c r="C12" s="8" t="str">
        <f>'Data Siswa'!C10</f>
        <v>0468</v>
      </c>
      <c r="D12" s="15">
        <v>5</v>
      </c>
      <c r="E12" s="15">
        <v>4.5</v>
      </c>
      <c r="F12" s="15">
        <v>5.5</v>
      </c>
      <c r="G12" s="15">
        <v>4.5</v>
      </c>
      <c r="H12" s="15">
        <v>5.2</v>
      </c>
      <c r="I12" s="15">
        <v>5.7</v>
      </c>
      <c r="J12" s="15">
        <v>5</v>
      </c>
      <c r="K12" s="15">
        <v>4.5</v>
      </c>
      <c r="L12" s="15">
        <v>4.5</v>
      </c>
      <c r="M12" s="15">
        <v>5</v>
      </c>
      <c r="N12" s="15">
        <v>5</v>
      </c>
      <c r="O12" s="15">
        <v>5.7</v>
      </c>
      <c r="P12" s="15">
        <v>5</v>
      </c>
      <c r="Q12" s="15">
        <v>4.5</v>
      </c>
      <c r="R12" s="15">
        <v>5.5</v>
      </c>
      <c r="S12" s="15">
        <v>5</v>
      </c>
      <c r="T12" s="72">
        <f t="shared" si="0"/>
        <v>80.099999999999994</v>
      </c>
      <c r="U12" s="73">
        <f t="shared" si="1"/>
        <v>5.0062499999999996</v>
      </c>
      <c r="V12" s="74"/>
      <c r="W12" s="72">
        <f>SUM('Nilai Tahriri'!AJ10,'Nilai Syafahi'!T12)</f>
        <v>242.99999999999997</v>
      </c>
      <c r="X12" s="72">
        <f>AVERAGE(D12:S12,'Nilai Tahriri'!D10:AI10)</f>
        <v>5.3999999999999995</v>
      </c>
      <c r="Y12" s="75">
        <f t="array" aca="1" ref="Y12" ca="1">SUM(IF(W12&lt;OFFSET($W$4,0,0,COUNT(W:W),1),1/COUNTIF(OFFSET($W$4,0,0,COUNT(W:W),1),OFFSET($W$4,0,0,COUNT(W:W),1))))+1</f>
        <v>16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LUTHFI RAMADHAN</v>
      </c>
      <c r="C13" s="8" t="str">
        <f>'Data Siswa'!C11</f>
        <v>0469</v>
      </c>
      <c r="D13" s="15">
        <v>5.7</v>
      </c>
      <c r="E13" s="15">
        <v>5.8</v>
      </c>
      <c r="F13" s="15">
        <v>6</v>
      </c>
      <c r="G13" s="15">
        <v>6</v>
      </c>
      <c r="H13" s="15">
        <v>6.2</v>
      </c>
      <c r="I13" s="15">
        <v>6</v>
      </c>
      <c r="J13" s="15">
        <v>4.5</v>
      </c>
      <c r="K13" s="15">
        <v>5</v>
      </c>
      <c r="L13" s="15">
        <v>5</v>
      </c>
      <c r="M13" s="15">
        <v>5</v>
      </c>
      <c r="N13" s="15">
        <v>5</v>
      </c>
      <c r="O13" s="15">
        <v>6</v>
      </c>
      <c r="P13" s="15">
        <v>5.7</v>
      </c>
      <c r="Q13" s="15">
        <v>5.8</v>
      </c>
      <c r="R13" s="15">
        <v>6</v>
      </c>
      <c r="S13" s="15">
        <v>5</v>
      </c>
      <c r="T13" s="72">
        <f t="shared" si="0"/>
        <v>88.7</v>
      </c>
      <c r="U13" s="73">
        <f t="shared" si="1"/>
        <v>5.5437500000000002</v>
      </c>
      <c r="V13" s="74"/>
      <c r="W13" s="72">
        <f>SUM('Nilai Tahriri'!AJ11,'Nilai Syafahi'!T13)</f>
        <v>253.5</v>
      </c>
      <c r="X13" s="72">
        <f>AVERAGE(D13:S13,'Nilai Tahriri'!D11:AI11)</f>
        <v>5.6333333333333337</v>
      </c>
      <c r="Y13" s="75">
        <f t="array" aca="1" ref="Y13" ca="1">SUM(IF(W13&lt;OFFSET($W$4,0,0,COUNT(W:W),1),1/COUNTIF(OFFSET($W$4,0,0,COUNT(W:W),1),OFFSET($W$4,0,0,COUNT(W:W),1))))+1</f>
        <v>7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MAULIDAN FAHRI BASTAMAN</v>
      </c>
      <c r="C14" s="8" t="str">
        <f>'Data Siswa'!C12</f>
        <v>0470</v>
      </c>
      <c r="D14" s="15">
        <v>5</v>
      </c>
      <c r="E14" s="15">
        <v>4.5</v>
      </c>
      <c r="F14" s="15">
        <v>5.2</v>
      </c>
      <c r="G14" s="15">
        <v>6</v>
      </c>
      <c r="H14" s="15">
        <v>6</v>
      </c>
      <c r="I14" s="15">
        <v>6</v>
      </c>
      <c r="J14" s="15">
        <v>5.5</v>
      </c>
      <c r="K14" s="15">
        <v>5.5</v>
      </c>
      <c r="L14" s="15">
        <v>5</v>
      </c>
      <c r="M14" s="15">
        <v>5</v>
      </c>
      <c r="N14" s="15">
        <v>5.5</v>
      </c>
      <c r="O14" s="15">
        <v>6</v>
      </c>
      <c r="P14" s="15">
        <v>5</v>
      </c>
      <c r="Q14" s="15">
        <v>4.5</v>
      </c>
      <c r="R14" s="15">
        <v>5.2</v>
      </c>
      <c r="S14" s="15">
        <v>5</v>
      </c>
      <c r="T14" s="72">
        <f t="shared" si="0"/>
        <v>84.9</v>
      </c>
      <c r="U14" s="73">
        <f t="shared" si="1"/>
        <v>5.3062500000000004</v>
      </c>
      <c r="V14" s="74"/>
      <c r="W14" s="72">
        <f>SUM('Nilai Tahriri'!AJ12,'Nilai Syafahi'!T14)</f>
        <v>247.30000000000004</v>
      </c>
      <c r="X14" s="72">
        <f>AVERAGE(D14:S14,'Nilai Tahriri'!D12:AI12)</f>
        <v>5.4955555555555566</v>
      </c>
      <c r="Y14" s="75">
        <f t="array" aca="1" ref="Y14" ca="1">SUM(IF(W14&lt;OFFSET($W$4,0,0,COUNT(W:W),1),1/COUNTIF(OFFSET($W$4,0,0,COUNT(W:W),1),OFFSET($W$4,0,0,COUNT(W:W),1))))+1</f>
        <v>11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MOCHAMMAD FIKRI</v>
      </c>
      <c r="C15" s="8" t="str">
        <f>'Data Siswa'!C13</f>
        <v>0471</v>
      </c>
      <c r="D15" s="15">
        <v>5</v>
      </c>
      <c r="E15" s="15">
        <v>4.5</v>
      </c>
      <c r="F15" s="15">
        <v>5.5</v>
      </c>
      <c r="G15" s="15">
        <v>4.5</v>
      </c>
      <c r="H15" s="15">
        <v>5.2</v>
      </c>
      <c r="I15" s="15">
        <v>5.7</v>
      </c>
      <c r="J15" s="15">
        <v>4.5</v>
      </c>
      <c r="K15" s="15">
        <v>4.5</v>
      </c>
      <c r="L15" s="15">
        <v>4.5</v>
      </c>
      <c r="M15" s="15">
        <v>5</v>
      </c>
      <c r="N15" s="15">
        <v>4.5</v>
      </c>
      <c r="O15" s="15">
        <v>5.7</v>
      </c>
      <c r="P15" s="15">
        <v>5</v>
      </c>
      <c r="Q15" s="15">
        <v>4.5</v>
      </c>
      <c r="R15" s="15">
        <v>5.5</v>
      </c>
      <c r="S15" s="15">
        <v>5</v>
      </c>
      <c r="T15" s="72">
        <f t="shared" si="0"/>
        <v>79.099999999999994</v>
      </c>
      <c r="U15" s="73">
        <f t="shared" si="1"/>
        <v>4.9437499999999996</v>
      </c>
      <c r="V15" s="74"/>
      <c r="W15" s="72">
        <f>SUM('Nilai Tahriri'!AJ13,'Nilai Syafahi'!T15)</f>
        <v>238.09999999999997</v>
      </c>
      <c r="X15" s="72">
        <f>AVERAGE(D15:S15,'Nilai Tahriri'!D13:AI13)</f>
        <v>5.2911111111111104</v>
      </c>
      <c r="Y15" s="75">
        <f t="array" aca="1" ref="Y15" ca="1">SUM(IF(W15&lt;OFFSET($W$4,0,0,COUNT(W:W),1),1/COUNTIF(OFFSET($W$4,0,0,COUNT(W:W),1),OFFSET($W$4,0,0,COUNT(W:W),1))))+1</f>
        <v>23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MUHAMAD ANDREAN</v>
      </c>
      <c r="C16" s="8" t="str">
        <f>'Data Siswa'!C14</f>
        <v>0472</v>
      </c>
      <c r="D16" s="15">
        <v>6.5</v>
      </c>
      <c r="E16" s="15">
        <v>7</v>
      </c>
      <c r="F16" s="15">
        <v>6.8</v>
      </c>
      <c r="G16" s="15">
        <v>7</v>
      </c>
      <c r="H16" s="15">
        <v>7.2</v>
      </c>
      <c r="I16" s="15">
        <v>6.5</v>
      </c>
      <c r="J16" s="15">
        <v>5</v>
      </c>
      <c r="K16" s="15">
        <v>5.5</v>
      </c>
      <c r="L16" s="15">
        <v>5</v>
      </c>
      <c r="M16" s="15">
        <v>5</v>
      </c>
      <c r="N16" s="15">
        <v>5</v>
      </c>
      <c r="O16" s="15">
        <v>6.5</v>
      </c>
      <c r="P16" s="15">
        <v>6.5</v>
      </c>
      <c r="Q16" s="15">
        <v>7</v>
      </c>
      <c r="R16" s="15">
        <v>6.8</v>
      </c>
      <c r="S16" s="15">
        <v>5</v>
      </c>
      <c r="T16" s="72">
        <f t="shared" si="0"/>
        <v>98.3</v>
      </c>
      <c r="U16" s="73">
        <f t="shared" si="1"/>
        <v>6.1437499999999998</v>
      </c>
      <c r="V16" s="74"/>
      <c r="W16" s="72">
        <f>SUM('Nilai Tahriri'!AJ14,'Nilai Syafahi'!T16)</f>
        <v>302.89999999999998</v>
      </c>
      <c r="X16" s="72">
        <f>AVERAGE(D16:S16,'Nilai Tahriri'!D14:AI14)</f>
        <v>6.7311111111111108</v>
      </c>
      <c r="Y16" s="75">
        <f t="array" aca="1" ref="Y16" ca="1">SUM(IF(W16&lt;OFFSET($W$4,0,0,COUNT(W:W),1),1/COUNTIF(OFFSET($W$4,0,0,COUNT(W:W),1),OFFSET($W$4,0,0,COUNT(W:W),1))))+1</f>
        <v>1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MUHAMAD FEBRIANSYAH</v>
      </c>
      <c r="C17" s="8" t="str">
        <f>'Data Siswa'!C15</f>
        <v>0473</v>
      </c>
      <c r="D17" s="15">
        <v>5.7</v>
      </c>
      <c r="E17" s="15">
        <v>4.5</v>
      </c>
      <c r="F17" s="15">
        <v>4.5</v>
      </c>
      <c r="G17" s="15">
        <v>5</v>
      </c>
      <c r="H17" s="15">
        <v>5.2</v>
      </c>
      <c r="I17" s="15">
        <v>5.7</v>
      </c>
      <c r="J17" s="15">
        <v>4</v>
      </c>
      <c r="K17" s="15">
        <v>4.5</v>
      </c>
      <c r="L17" s="15">
        <v>4.5</v>
      </c>
      <c r="M17" s="15">
        <v>5</v>
      </c>
      <c r="N17" s="15">
        <v>5</v>
      </c>
      <c r="O17" s="15">
        <v>5.7</v>
      </c>
      <c r="P17" s="15">
        <v>5.7</v>
      </c>
      <c r="Q17" s="15">
        <v>4.5</v>
      </c>
      <c r="R17" s="15">
        <v>4.5</v>
      </c>
      <c r="S17" s="15">
        <v>5</v>
      </c>
      <c r="T17" s="72">
        <f t="shared" si="0"/>
        <v>79</v>
      </c>
      <c r="U17" s="73">
        <f t="shared" si="1"/>
        <v>4.9375</v>
      </c>
      <c r="V17" s="74"/>
      <c r="W17" s="72">
        <f>SUM('Nilai Tahriri'!AJ15,'Nilai Syafahi'!T17)</f>
        <v>244.3</v>
      </c>
      <c r="X17" s="72">
        <f>AVERAGE(D17:S17,'Nilai Tahriri'!D15:AI15)</f>
        <v>5.4288888888888902</v>
      </c>
      <c r="Y17" s="75">
        <f t="array" aca="1" ref="Y17" ca="1">SUM(IF(W17&lt;OFFSET($W$4,0,0,COUNT(W:W),1),1/COUNTIF(OFFSET($W$4,0,0,COUNT(W:W),1),OFFSET($W$4,0,0,COUNT(W:W),1))))+1</f>
        <v>14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MUHAMAD HILMAN</v>
      </c>
      <c r="C18" s="8" t="str">
        <f>'Data Siswa'!C16</f>
        <v>0474</v>
      </c>
      <c r="D18" s="15">
        <v>5.7</v>
      </c>
      <c r="E18" s="15">
        <v>5.8</v>
      </c>
      <c r="F18" s="15">
        <v>5.8</v>
      </c>
      <c r="G18" s="15">
        <v>6.5</v>
      </c>
      <c r="H18" s="15">
        <v>7</v>
      </c>
      <c r="I18" s="15">
        <v>6</v>
      </c>
      <c r="J18" s="15">
        <v>4.5</v>
      </c>
      <c r="K18" s="15">
        <v>4</v>
      </c>
      <c r="L18" s="15">
        <v>4.5</v>
      </c>
      <c r="M18" s="15">
        <v>5</v>
      </c>
      <c r="N18" s="15">
        <v>4.5</v>
      </c>
      <c r="O18" s="15">
        <v>6</v>
      </c>
      <c r="P18" s="15">
        <v>5.7</v>
      </c>
      <c r="Q18" s="15">
        <v>5.8</v>
      </c>
      <c r="R18" s="15">
        <v>5.8</v>
      </c>
      <c r="S18" s="15">
        <v>5</v>
      </c>
      <c r="T18" s="72">
        <f t="shared" si="0"/>
        <v>87.6</v>
      </c>
      <c r="U18" s="73">
        <f t="shared" si="1"/>
        <v>5.4749999999999996</v>
      </c>
      <c r="V18" s="74"/>
      <c r="W18" s="72">
        <f>SUM('Nilai Tahriri'!AJ16,'Nilai Syafahi'!T18)</f>
        <v>277.89999999999998</v>
      </c>
      <c r="X18" s="72">
        <f>AVERAGE(D18:S18,'Nilai Tahriri'!D16:AI16)</f>
        <v>6.1755555555555555</v>
      </c>
      <c r="Y18" s="75">
        <f t="array" aca="1" ref="Y18" ca="1">SUM(IF(W18&lt;OFFSET($W$4,0,0,COUNT(W:W),1),1/COUNTIF(OFFSET($W$4,0,0,COUNT(W:W),1),OFFSET($W$4,0,0,COUNT(W:W),1))))+1</f>
        <v>2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MUHAMAD RIZKI FADILAH</v>
      </c>
      <c r="C19" s="8" t="str">
        <f>'Data Siswa'!C17</f>
        <v>0475</v>
      </c>
      <c r="D19" s="15">
        <v>5.7</v>
      </c>
      <c r="E19" s="15">
        <v>6</v>
      </c>
      <c r="F19" s="15">
        <v>6</v>
      </c>
      <c r="G19" s="15">
        <v>6</v>
      </c>
      <c r="H19" s="15">
        <v>6.8</v>
      </c>
      <c r="I19" s="15">
        <v>6</v>
      </c>
      <c r="J19" s="15">
        <v>5</v>
      </c>
      <c r="K19" s="15">
        <v>4</v>
      </c>
      <c r="L19" s="15">
        <v>4.5</v>
      </c>
      <c r="M19" s="15">
        <v>5</v>
      </c>
      <c r="N19" s="15">
        <v>4.5</v>
      </c>
      <c r="O19" s="15">
        <v>6</v>
      </c>
      <c r="P19" s="15">
        <v>5.7</v>
      </c>
      <c r="Q19" s="15">
        <v>6</v>
      </c>
      <c r="R19" s="15">
        <v>6</v>
      </c>
      <c r="S19" s="15">
        <v>5</v>
      </c>
      <c r="T19" s="72">
        <f t="shared" si="0"/>
        <v>88.2</v>
      </c>
      <c r="U19" s="73">
        <f t="shared" si="1"/>
        <v>5.5125000000000002</v>
      </c>
      <c r="V19" s="74"/>
      <c r="W19" s="72">
        <f>SUM('Nilai Tahriri'!AJ17,'Nilai Syafahi'!T19)</f>
        <v>266.09999999999997</v>
      </c>
      <c r="X19" s="72">
        <f>AVERAGE(D19:S19,'Nilai Tahriri'!D17:AI17)</f>
        <v>5.9133333333333322</v>
      </c>
      <c r="Y19" s="75">
        <f t="array" aca="1" ref="Y19" ca="1">SUM(IF(W19&lt;OFFSET($W$4,0,0,COUNT(W:W),1),1/COUNTIF(OFFSET($W$4,0,0,COUNT(W:W),1),OFFSET($W$4,0,0,COUNT(W:W),1))))+1</f>
        <v>3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MUHAMAD YUSUF IRFAN</v>
      </c>
      <c r="C20" s="8" t="str">
        <f>'Data Siswa'!C18</f>
        <v>0476</v>
      </c>
      <c r="D20" s="15">
        <v>5.7</v>
      </c>
      <c r="E20" s="15">
        <v>4.8</v>
      </c>
      <c r="F20" s="15">
        <v>5.8</v>
      </c>
      <c r="G20" s="15">
        <v>5.8</v>
      </c>
      <c r="H20" s="15">
        <v>6</v>
      </c>
      <c r="I20" s="15">
        <v>5.7</v>
      </c>
      <c r="J20" s="15">
        <v>5</v>
      </c>
      <c r="K20" s="15">
        <v>5.5</v>
      </c>
      <c r="L20" s="15">
        <v>4.5</v>
      </c>
      <c r="M20" s="15">
        <v>5</v>
      </c>
      <c r="N20" s="15">
        <v>5</v>
      </c>
      <c r="O20" s="15">
        <v>5.7</v>
      </c>
      <c r="P20" s="15">
        <v>5.7</v>
      </c>
      <c r="Q20" s="15">
        <v>4.8</v>
      </c>
      <c r="R20" s="15">
        <v>5.8</v>
      </c>
      <c r="S20" s="15">
        <v>5</v>
      </c>
      <c r="T20" s="72">
        <f t="shared" si="0"/>
        <v>85.8</v>
      </c>
      <c r="U20" s="73">
        <f t="shared" si="1"/>
        <v>5.3624999999999998</v>
      </c>
      <c r="V20" s="74"/>
      <c r="W20" s="72">
        <f>SUM('Nilai Tahriri'!AJ18,'Nilai Syafahi'!T20)</f>
        <v>246.8</v>
      </c>
      <c r="X20" s="72">
        <f>AVERAGE(D20:S20,'Nilai Tahriri'!D18:AI18)</f>
        <v>5.4844444444444456</v>
      </c>
      <c r="Y20" s="75">
        <f t="array" aca="1" ref="Y20" ca="1">SUM(IF(W20&lt;OFFSET($W$4,0,0,COUNT(W:W),1),1/COUNTIF(OFFSET($W$4,0,0,COUNT(W:W),1),OFFSET($W$4,0,0,COUNT(W:W),1))))+1</f>
        <v>12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MUHAMAD ZIDAN</v>
      </c>
      <c r="C21" s="8" t="str">
        <f>'Data Siswa'!C19</f>
        <v>0477</v>
      </c>
      <c r="D21" s="15">
        <v>5.5</v>
      </c>
      <c r="E21" s="15">
        <v>5.5</v>
      </c>
      <c r="F21" s="15">
        <v>5.5</v>
      </c>
      <c r="G21" s="15">
        <v>5.5</v>
      </c>
      <c r="H21" s="15">
        <v>6</v>
      </c>
      <c r="I21" s="15">
        <v>6</v>
      </c>
      <c r="J21" s="15">
        <v>5</v>
      </c>
      <c r="K21" s="15">
        <v>4.5</v>
      </c>
      <c r="L21" s="15">
        <v>5</v>
      </c>
      <c r="M21" s="15">
        <v>5</v>
      </c>
      <c r="N21" s="15">
        <v>4.5</v>
      </c>
      <c r="O21" s="15">
        <v>6</v>
      </c>
      <c r="P21" s="15">
        <v>5.5</v>
      </c>
      <c r="Q21" s="15">
        <v>5.5</v>
      </c>
      <c r="R21" s="15">
        <v>5.5</v>
      </c>
      <c r="S21" s="15">
        <v>5</v>
      </c>
      <c r="T21" s="72">
        <f t="shared" si="0"/>
        <v>85.5</v>
      </c>
      <c r="U21" s="73">
        <f t="shared" si="1"/>
        <v>5.34375</v>
      </c>
      <c r="V21" s="74"/>
      <c r="W21" s="72">
        <f>SUM('Nilai Tahriri'!AJ19,'Nilai Syafahi'!T21)</f>
        <v>248.80000000000004</v>
      </c>
      <c r="X21" s="72">
        <f>AVERAGE(D21:S21,'Nilai Tahriri'!D19:AI19)</f>
        <v>5.5288888888888899</v>
      </c>
      <c r="Y21" s="75">
        <f t="array" aca="1" ref="Y21" ca="1">SUM(IF(W21&lt;OFFSET($W$4,0,0,COUNT(W:W),1),1/COUNTIF(OFFSET($W$4,0,0,COUNT(W:W),1),OFFSET($W$4,0,0,COUNT(W:W),1))))+1</f>
        <v>10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MUHAMMAD AZIZ ABDIYANTO</v>
      </c>
      <c r="C22" s="8" t="str">
        <f>'Data Siswa'!C20</f>
        <v>0478</v>
      </c>
      <c r="D22" s="15">
        <v>5.5</v>
      </c>
      <c r="E22" s="15">
        <v>5.5</v>
      </c>
      <c r="F22" s="15">
        <v>5.5</v>
      </c>
      <c r="G22" s="15">
        <v>6</v>
      </c>
      <c r="H22" s="15">
        <v>4.8</v>
      </c>
      <c r="I22" s="15">
        <v>6</v>
      </c>
      <c r="J22" s="15">
        <v>5</v>
      </c>
      <c r="K22" s="15">
        <v>4.5</v>
      </c>
      <c r="L22" s="15">
        <v>4.5</v>
      </c>
      <c r="M22" s="15">
        <v>5</v>
      </c>
      <c r="N22" s="15">
        <v>5.5</v>
      </c>
      <c r="O22" s="15">
        <v>6</v>
      </c>
      <c r="P22" s="15">
        <v>5.5</v>
      </c>
      <c r="Q22" s="15">
        <v>5.5</v>
      </c>
      <c r="R22" s="15">
        <v>5.5</v>
      </c>
      <c r="S22" s="15">
        <v>5</v>
      </c>
      <c r="T22" s="72">
        <f t="shared" si="0"/>
        <v>85.3</v>
      </c>
      <c r="U22" s="73">
        <f t="shared" si="1"/>
        <v>5.3312499999999998</v>
      </c>
      <c r="V22" s="74"/>
      <c r="W22" s="72">
        <f>SUM('Nilai Tahriri'!AJ20,'Nilai Syafahi'!T22)</f>
        <v>250.8</v>
      </c>
      <c r="X22" s="72">
        <f>AVERAGE(D22:S22,'Nilai Tahriri'!D20:AI20)</f>
        <v>5.5733333333333341</v>
      </c>
      <c r="Y22" s="75">
        <f t="array" aca="1" ref="Y22" ca="1">SUM(IF(W22&lt;OFFSET($W$4,0,0,COUNT(W:W),1),1/COUNTIF(OFFSET($W$4,0,0,COUNT(W:W),1),OFFSET($W$4,0,0,COUNT(W:W),1))))+1</f>
        <v>8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MUHAMMAD TANZILUL MUNZIAT</v>
      </c>
      <c r="C23" s="8" t="str">
        <f>'Data Siswa'!C21</f>
        <v>0479</v>
      </c>
      <c r="D23" s="15">
        <v>5.7</v>
      </c>
      <c r="E23" s="15">
        <v>4.5</v>
      </c>
      <c r="F23" s="15">
        <v>5.5</v>
      </c>
      <c r="G23" s="15">
        <v>4.5</v>
      </c>
      <c r="H23" s="15">
        <v>6</v>
      </c>
      <c r="I23" s="15">
        <v>5.7</v>
      </c>
      <c r="J23" s="15">
        <v>4.5</v>
      </c>
      <c r="K23" s="15">
        <v>4.5</v>
      </c>
      <c r="L23" s="15">
        <v>4.5</v>
      </c>
      <c r="M23" s="15">
        <v>5</v>
      </c>
      <c r="N23" s="15">
        <v>5</v>
      </c>
      <c r="O23" s="15">
        <v>5.7</v>
      </c>
      <c r="P23" s="15">
        <v>5.7</v>
      </c>
      <c r="Q23" s="15">
        <v>4.5</v>
      </c>
      <c r="R23" s="15">
        <v>5.5</v>
      </c>
      <c r="S23" s="15">
        <v>5</v>
      </c>
      <c r="T23" s="72">
        <f t="shared" si="0"/>
        <v>81.8</v>
      </c>
      <c r="U23" s="73">
        <f t="shared" si="1"/>
        <v>5.1124999999999998</v>
      </c>
      <c r="V23" s="74"/>
      <c r="W23" s="72">
        <f>SUM('Nilai Tahriri'!AJ21,'Nilai Syafahi'!T23)</f>
        <v>243.7</v>
      </c>
      <c r="X23" s="72">
        <f>AVERAGE(D23:S23,'Nilai Tahriri'!D21:AI21)</f>
        <v>5.4155555555555557</v>
      </c>
      <c r="Y23" s="75">
        <f t="array" aca="1" ref="Y23" ca="1">SUM(IF(W23&lt;OFFSET($W$4,0,0,COUNT(W:W),1),1/COUNTIF(OFFSET($W$4,0,0,COUNT(W:W),1),OFFSET($W$4,0,0,COUNT(W:W),1))))+1</f>
        <v>15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MUHAMMAD WILDANUL HUDA</v>
      </c>
      <c r="C24" s="8" t="str">
        <f>'Data Siswa'!C22</f>
        <v>0480</v>
      </c>
      <c r="D24" s="15">
        <v>5</v>
      </c>
      <c r="E24" s="15">
        <v>4.5</v>
      </c>
      <c r="F24" s="15">
        <v>5</v>
      </c>
      <c r="G24" s="15">
        <v>5</v>
      </c>
      <c r="H24" s="15">
        <v>5.7</v>
      </c>
      <c r="I24" s="15">
        <v>6</v>
      </c>
      <c r="J24" s="15">
        <v>4.5</v>
      </c>
      <c r="K24" s="15">
        <v>4.5</v>
      </c>
      <c r="L24" s="15">
        <v>4.5</v>
      </c>
      <c r="M24" s="15">
        <v>5</v>
      </c>
      <c r="N24" s="15">
        <v>5</v>
      </c>
      <c r="O24" s="15">
        <v>6</v>
      </c>
      <c r="P24" s="15">
        <v>5</v>
      </c>
      <c r="Q24" s="15">
        <v>4.5</v>
      </c>
      <c r="R24" s="15">
        <v>5</v>
      </c>
      <c r="S24" s="15">
        <v>5</v>
      </c>
      <c r="T24" s="72">
        <f t="shared" si="0"/>
        <v>80.2</v>
      </c>
      <c r="U24" s="73">
        <f t="shared" si="1"/>
        <v>5.0125000000000002</v>
      </c>
      <c r="V24" s="74"/>
      <c r="W24" s="72">
        <f>SUM('Nilai Tahriri'!AJ22,'Nilai Syafahi'!T24)</f>
        <v>241.90000000000003</v>
      </c>
      <c r="X24" s="72">
        <f>AVERAGE(D24:S24,'Nilai Tahriri'!D22:AI22)</f>
        <v>5.3755555555555565</v>
      </c>
      <c r="Y24" s="75">
        <f t="array" aca="1" ref="Y24" ca="1">SUM(IF(W24&lt;OFFSET($W$4,0,0,COUNT(W:W),1),1/COUNTIF(OFFSET($W$4,0,0,COUNT(W:W),1),OFFSET($W$4,0,0,COUNT(W:W),1))))+1</f>
        <v>17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NAUFAL RIZKIA AL THAF</v>
      </c>
      <c r="C25" s="8" t="str">
        <f>'Data Siswa'!C23</f>
        <v>0481</v>
      </c>
      <c r="D25" s="15">
        <v>5</v>
      </c>
      <c r="E25" s="15">
        <v>4.5</v>
      </c>
      <c r="F25" s="15">
        <v>5.5</v>
      </c>
      <c r="G25" s="15">
        <v>4.7</v>
      </c>
      <c r="H25" s="15">
        <v>5.2</v>
      </c>
      <c r="I25" s="15">
        <v>5.7</v>
      </c>
      <c r="J25" s="15">
        <v>5</v>
      </c>
      <c r="K25" s="15">
        <v>5.5</v>
      </c>
      <c r="L25" s="15">
        <v>5</v>
      </c>
      <c r="M25" s="15">
        <v>5</v>
      </c>
      <c r="N25" s="15">
        <v>5</v>
      </c>
      <c r="O25" s="15">
        <v>5.7</v>
      </c>
      <c r="P25" s="15">
        <v>5</v>
      </c>
      <c r="Q25" s="15">
        <v>4.5</v>
      </c>
      <c r="R25" s="15">
        <v>5.5</v>
      </c>
      <c r="S25" s="15">
        <v>5</v>
      </c>
      <c r="T25" s="72">
        <f t="shared" si="0"/>
        <v>81.8</v>
      </c>
      <c r="U25" s="73">
        <f t="shared" si="1"/>
        <v>5.1124999999999998</v>
      </c>
      <c r="V25" s="74"/>
      <c r="W25" s="72">
        <f>SUM('Nilai Tahriri'!AJ23,'Nilai Syafahi'!T25)</f>
        <v>239.29999999999995</v>
      </c>
      <c r="X25" s="72">
        <f>AVERAGE(D25:S25,'Nilai Tahriri'!D23:AI23)</f>
        <v>5.3177777777777777</v>
      </c>
      <c r="Y25" s="75">
        <f t="array" aca="1" ref="Y25" ca="1">SUM(IF(W25&lt;OFFSET($W$4,0,0,COUNT(W:W),1),1/COUNTIF(OFFSET($W$4,0,0,COUNT(W:W),1),OFFSET($W$4,0,0,COUNT(W:W),1))))+1</f>
        <v>22</v>
      </c>
      <c r="Z25" s="59" t="s">
        <v>280</v>
      </c>
    </row>
    <row r="26" spans="1:26" ht="15.5" x14ac:dyDescent="0.35">
      <c r="A26" s="8">
        <f>'Data Siswa'!A24</f>
        <v>23</v>
      </c>
      <c r="B26" s="101" t="str">
        <f>'Data Siswa'!B24</f>
        <v>ROHIN ARPINAS</v>
      </c>
      <c r="C26" s="8" t="str">
        <f>'Data Siswa'!C24</f>
        <v>0482</v>
      </c>
      <c r="D26" s="15">
        <v>6</v>
      </c>
      <c r="E26" s="15">
        <v>4.5</v>
      </c>
      <c r="F26" s="15">
        <v>5.5</v>
      </c>
      <c r="G26" s="15">
        <v>6</v>
      </c>
      <c r="H26" s="15">
        <v>6.9</v>
      </c>
      <c r="I26" s="15">
        <v>6</v>
      </c>
      <c r="J26" s="15">
        <v>5.5</v>
      </c>
      <c r="K26" s="15">
        <v>5.5</v>
      </c>
      <c r="L26" s="15">
        <v>5</v>
      </c>
      <c r="M26" s="15">
        <v>5</v>
      </c>
      <c r="N26" s="15">
        <v>5</v>
      </c>
      <c r="O26" s="15">
        <v>6</v>
      </c>
      <c r="P26" s="15">
        <v>6</v>
      </c>
      <c r="Q26" s="15">
        <v>4.5</v>
      </c>
      <c r="R26" s="15">
        <v>5.5</v>
      </c>
      <c r="S26" s="15">
        <v>5</v>
      </c>
      <c r="T26" s="72">
        <f t="shared" si="0"/>
        <v>87.9</v>
      </c>
      <c r="U26" s="73">
        <f t="shared" si="1"/>
        <v>5.4937500000000004</v>
      </c>
      <c r="V26" s="74"/>
      <c r="W26" s="72">
        <f>SUM('Nilai Tahriri'!AJ24,'Nilai Syafahi'!T26)</f>
        <v>250.50000000000003</v>
      </c>
      <c r="X26" s="72">
        <f>AVERAGE(D26:S26,'Nilai Tahriri'!D24:AI24)</f>
        <v>5.5666666666666664</v>
      </c>
      <c r="Y26" s="75">
        <f t="array" aca="1" ref="Y26" ca="1">SUM(IF(W26&lt;OFFSET($W$4,0,0,COUNT(W:W),1),1/COUNTIF(OFFSET($W$4,0,0,COUNT(W:W),1),OFFSET($W$4,0,0,COUNT(W:W),1))))+1</f>
        <v>9</v>
      </c>
      <c r="Z26" s="59" t="s">
        <v>280</v>
      </c>
    </row>
    <row r="27" spans="1:26" ht="15.5" x14ac:dyDescent="0.35">
      <c r="A27" s="8">
        <f>'Data Siswa'!A25</f>
        <v>24</v>
      </c>
      <c r="B27" s="101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2">
        <f t="shared" si="0"/>
        <v>0</v>
      </c>
      <c r="U27" s="73" t="e">
        <f t="shared" si="1"/>
        <v>#DIV/0!</v>
      </c>
      <c r="V27" s="74"/>
      <c r="W27" s="72">
        <f>SUM('Nilai Tahriri'!AJ25,'Nilai Syafahi'!T27)</f>
        <v>0</v>
      </c>
      <c r="X27" s="72" t="e">
        <f>AVERAGE(D27:S27,'Nilai Tahriri'!D25:AI25)</f>
        <v>#DIV/0!</v>
      </c>
      <c r="Y27" s="75">
        <f t="array" aca="1" ref="Y27" ca="1">SUM(IF(W27&lt;OFFSET($W$4,0,0,COUNT(W:W),1),1/COUNTIF(OFFSET($W$4,0,0,COUNT(W:W),1),OFFSET($W$4,0,0,COUNT(W:W),1))))+1</f>
        <v>24</v>
      </c>
      <c r="Z27" s="59" t="s">
        <v>280</v>
      </c>
    </row>
    <row r="28" spans="1:26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2">
        <f t="shared" si="0"/>
        <v>0</v>
      </c>
      <c r="U28" s="73" t="e">
        <f t="shared" si="1"/>
        <v>#DIV/0!</v>
      </c>
      <c r="V28" s="74"/>
      <c r="W28" s="72">
        <f>SUM('Nilai Tahriri'!AJ26,'Nilai Syafahi'!T28)</f>
        <v>0</v>
      </c>
      <c r="X28" s="72" t="e">
        <f>AVERAGE(D28:S28,'Nilai Tahriri'!D26:AI26)</f>
        <v>#DIV/0!</v>
      </c>
      <c r="Y28" s="75">
        <f t="array" aca="1" ref="Y28" ca="1">SUM(IF(W28&lt;OFFSET($W$4,0,0,COUNT(W:W),1),1/COUNTIF(OFFSET($W$4,0,0,COUNT(W:W),1),OFFSET($W$4,0,0,COUNT(W:W),1))))+1</f>
        <v>24</v>
      </c>
      <c r="Z28" s="59" t="s">
        <v>280</v>
      </c>
    </row>
    <row r="29" spans="1:26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2">
        <f t="shared" si="0"/>
        <v>0</v>
      </c>
      <c r="U29" s="73" t="e">
        <f t="shared" si="1"/>
        <v>#DIV/0!</v>
      </c>
      <c r="V29" s="74"/>
      <c r="W29" s="72">
        <f>SUM('Nilai Tahriri'!AJ27,'Nilai Syafahi'!T29)</f>
        <v>0</v>
      </c>
      <c r="X29" s="72" t="e">
        <f>AVERAGE(D29:S29,'Nilai Tahriri'!D27:AI27)</f>
        <v>#DIV/0!</v>
      </c>
      <c r="Y29" s="75">
        <f t="array" aca="1" ref="Y29" ca="1">SUM(IF(W29&lt;OFFSET($W$4,0,0,COUNT(W:W),1),1/COUNTIF(OFFSET($W$4,0,0,COUNT(W:W),1),OFFSET($W$4,0,0,COUNT(W:W),1))))+1</f>
        <v>24</v>
      </c>
      <c r="Z29" s="59" t="s">
        <v>280</v>
      </c>
    </row>
    <row r="30" spans="1:26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2">
        <f t="shared" si="0"/>
        <v>0</v>
      </c>
      <c r="U30" s="73" t="e">
        <f t="shared" si="1"/>
        <v>#DIV/0!</v>
      </c>
      <c r="V30" s="74"/>
      <c r="W30" s="72">
        <f>SUM('Nilai Tahriri'!AJ28,'Nilai Syafahi'!T30)</f>
        <v>0</v>
      </c>
      <c r="X30" s="72" t="e">
        <f>AVERAGE(D30:S30,'Nilai Tahriri'!D28:AI28)</f>
        <v>#DIV/0!</v>
      </c>
      <c r="Y30" s="75">
        <f t="array" aca="1" ref="Y30" ca="1">SUM(IF(W30&lt;OFFSET($W$4,0,0,COUNT(W:W),1),1/COUNTIF(OFFSET($W$4,0,0,COUNT(W:W),1),OFFSET($W$4,0,0,COUNT(W:W),1))))+1</f>
        <v>24</v>
      </c>
      <c r="Z30" s="59" t="s">
        <v>280</v>
      </c>
    </row>
    <row r="31" spans="1:26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2">
        <f t="shared" si="0"/>
        <v>0</v>
      </c>
      <c r="U31" s="73" t="e">
        <f t="shared" si="1"/>
        <v>#DIV/0!</v>
      </c>
      <c r="V31" s="74"/>
      <c r="W31" s="72">
        <f>SUM('Nilai Tahriri'!AJ29,'Nilai Syafahi'!T31)</f>
        <v>0</v>
      </c>
      <c r="X31" s="72" t="e">
        <f>AVERAGE(D31:S31,'Nilai Tahriri'!D29:AI29)</f>
        <v>#DIV/0!</v>
      </c>
      <c r="Y31" s="75">
        <f t="array" aca="1" ref="Y31" ca="1">SUM(IF(W31&lt;OFFSET($W$4,0,0,COUNT(W:W),1),1/COUNTIF(OFFSET($W$4,0,0,COUNT(W:W),1),OFFSET($W$4,0,0,COUNT(W:W),1))))+1</f>
        <v>24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24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24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24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24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24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24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24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24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24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24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24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24</v>
      </c>
      <c r="Z43" s="59" t="s">
        <v>280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3C3DB00E-EDA3-4F23-A3B0-43FF1DD198A9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3"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4" t="s">
        <v>176</v>
      </c>
      <c r="B1" s="164"/>
      <c r="C1" s="164"/>
      <c r="D1" s="162" t="s">
        <v>91</v>
      </c>
      <c r="E1" s="162"/>
      <c r="F1" s="162"/>
      <c r="G1" s="162"/>
      <c r="H1" s="162"/>
      <c r="I1" s="162"/>
      <c r="J1" s="98"/>
    </row>
    <row r="2" spans="1:10" ht="14.5" customHeight="1" x14ac:dyDescent="0.35">
      <c r="A2" s="152" t="s">
        <v>76</v>
      </c>
      <c r="B2" s="150" t="s">
        <v>55</v>
      </c>
      <c r="C2" s="152" t="s">
        <v>54</v>
      </c>
      <c r="D2" s="163" t="s">
        <v>31</v>
      </c>
      <c r="E2" s="163"/>
      <c r="F2" s="163"/>
      <c r="G2" s="161" t="s">
        <v>84</v>
      </c>
      <c r="H2" s="161"/>
      <c r="I2" s="161"/>
      <c r="J2" s="25" t="s">
        <v>178</v>
      </c>
    </row>
    <row r="3" spans="1:10" ht="53.15" customHeight="1" x14ac:dyDescent="0.35">
      <c r="A3" s="152"/>
      <c r="B3" s="150"/>
      <c r="C3" s="152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AGUS SAEPULLOH</v>
      </c>
      <c r="C4" s="8" t="str">
        <f>'Data Siswa'!C2</f>
        <v>0460</v>
      </c>
      <c r="D4" s="19">
        <v>8</v>
      </c>
      <c r="E4" s="19">
        <v>8</v>
      </c>
      <c r="F4" s="19">
        <v>8</v>
      </c>
      <c r="G4" s="19"/>
      <c r="H4" s="19"/>
      <c r="I4" s="19"/>
      <c r="J4" s="116" t="s">
        <v>338</v>
      </c>
    </row>
    <row r="5" spans="1:10" ht="15.5" x14ac:dyDescent="0.35">
      <c r="A5" s="8">
        <f>'Data Siswa'!A3</f>
        <v>2</v>
      </c>
      <c r="B5" s="102" t="str">
        <f>'Data Siswa'!B3</f>
        <v>ALIFXANDER NESTA SAFI'I</v>
      </c>
      <c r="C5" s="8" t="str">
        <f>'Data Siswa'!C3</f>
        <v>0461</v>
      </c>
      <c r="D5" s="19">
        <v>8</v>
      </c>
      <c r="E5" s="19">
        <v>8</v>
      </c>
      <c r="F5" s="19">
        <v>8</v>
      </c>
      <c r="G5" s="19"/>
      <c r="H5" s="19"/>
      <c r="I5" s="19"/>
      <c r="J5" s="99" t="s">
        <v>338</v>
      </c>
    </row>
    <row r="6" spans="1:10" ht="15.5" x14ac:dyDescent="0.35">
      <c r="A6" s="8">
        <f>'Data Siswa'!A4</f>
        <v>3</v>
      </c>
      <c r="B6" s="101" t="str">
        <f>'Data Siswa'!B4</f>
        <v>ANAN WIDIANSYAH</v>
      </c>
      <c r="C6" s="8" t="str">
        <f>'Data Siswa'!C4</f>
        <v>0462</v>
      </c>
      <c r="D6" s="19">
        <v>8</v>
      </c>
      <c r="E6" s="19">
        <v>8</v>
      </c>
      <c r="F6" s="19">
        <v>8</v>
      </c>
      <c r="G6" s="19"/>
      <c r="H6" s="19"/>
      <c r="I6" s="19"/>
      <c r="J6" s="99" t="s">
        <v>338</v>
      </c>
    </row>
    <row r="7" spans="1:10" ht="15.5" x14ac:dyDescent="0.35">
      <c r="A7" s="8">
        <f>'Data Siswa'!A5</f>
        <v>4</v>
      </c>
      <c r="B7" s="101" t="str">
        <f>'Data Siswa'!B5</f>
        <v>DANIL RAMADHAN</v>
      </c>
      <c r="C7" s="8" t="str">
        <f>'Data Siswa'!C5</f>
        <v>0463</v>
      </c>
      <c r="D7" s="19">
        <v>8</v>
      </c>
      <c r="E7" s="19">
        <v>8</v>
      </c>
      <c r="F7" s="19">
        <v>8</v>
      </c>
      <c r="G7" s="19"/>
      <c r="H7" s="19"/>
      <c r="I7" s="19"/>
      <c r="J7" s="99" t="s">
        <v>338</v>
      </c>
    </row>
    <row r="8" spans="1:10" ht="15.5" x14ac:dyDescent="0.35">
      <c r="A8" s="8">
        <f>'Data Siswa'!A6</f>
        <v>5</v>
      </c>
      <c r="B8" s="101" t="str">
        <f>'Data Siswa'!B6</f>
        <v>FAHRI NUR AZIZ</v>
      </c>
      <c r="C8" s="8" t="str">
        <f>'Data Siswa'!C6</f>
        <v>0464</v>
      </c>
      <c r="D8" s="19">
        <v>8</v>
      </c>
      <c r="E8" s="19">
        <v>8</v>
      </c>
      <c r="F8" s="19">
        <v>8</v>
      </c>
      <c r="G8" s="19"/>
      <c r="H8" s="19"/>
      <c r="I8" s="19"/>
      <c r="J8" s="99" t="s">
        <v>338</v>
      </c>
    </row>
    <row r="9" spans="1:10" ht="15.5" x14ac:dyDescent="0.35">
      <c r="A9" s="8">
        <f>'Data Siswa'!A7</f>
        <v>6</v>
      </c>
      <c r="B9" s="101" t="str">
        <f>'Data Siswa'!B7</f>
        <v>FAISAL RAMADHAN</v>
      </c>
      <c r="C9" s="8" t="str">
        <f>'Data Siswa'!C7</f>
        <v>0465</v>
      </c>
      <c r="D9" s="19">
        <v>8</v>
      </c>
      <c r="E9" s="19">
        <v>8</v>
      </c>
      <c r="F9" s="19">
        <v>8</v>
      </c>
      <c r="G9" s="19"/>
      <c r="H9" s="19"/>
      <c r="I9" s="19"/>
      <c r="J9" s="99" t="s">
        <v>338</v>
      </c>
    </row>
    <row r="10" spans="1:10" ht="15.5" x14ac:dyDescent="0.35">
      <c r="A10" s="8">
        <f>'Data Siswa'!A8</f>
        <v>7</v>
      </c>
      <c r="B10" s="101" t="str">
        <f>'Data Siswa'!B8</f>
        <v>FIKI KURNIAWAN</v>
      </c>
      <c r="C10" s="8" t="str">
        <f>'Data Siswa'!C8</f>
        <v>0466</v>
      </c>
      <c r="D10" s="19">
        <v>8</v>
      </c>
      <c r="E10" s="19">
        <v>8</v>
      </c>
      <c r="F10" s="19">
        <v>8</v>
      </c>
      <c r="G10" s="19"/>
      <c r="H10" s="19"/>
      <c r="I10" s="19"/>
      <c r="J10" s="99" t="s">
        <v>338</v>
      </c>
    </row>
    <row r="11" spans="1:10" ht="15.5" x14ac:dyDescent="0.35">
      <c r="A11" s="8">
        <f>'Data Siswa'!A9</f>
        <v>8</v>
      </c>
      <c r="B11" s="101" t="str">
        <f>'Data Siswa'!B9</f>
        <v>IKHBAL FATUROKHMAN</v>
      </c>
      <c r="C11" s="8" t="str">
        <f>'Data Siswa'!C9</f>
        <v>0467</v>
      </c>
      <c r="D11" s="19">
        <v>8</v>
      </c>
      <c r="E11" s="19">
        <v>8</v>
      </c>
      <c r="F11" s="19">
        <v>8</v>
      </c>
      <c r="G11" s="19"/>
      <c r="H11" s="19"/>
      <c r="I11" s="19"/>
      <c r="J11" s="99" t="s">
        <v>338</v>
      </c>
    </row>
    <row r="12" spans="1:10" ht="15.5" x14ac:dyDescent="0.35">
      <c r="A12" s="8">
        <f>'Data Siswa'!A10</f>
        <v>9</v>
      </c>
      <c r="B12" s="101" t="str">
        <f>'Data Siswa'!B10</f>
        <v>ILHAM NUR WAHYU</v>
      </c>
      <c r="C12" s="8" t="str">
        <f>'Data Siswa'!C10</f>
        <v>0468</v>
      </c>
      <c r="D12" s="19">
        <v>8</v>
      </c>
      <c r="E12" s="19">
        <v>8</v>
      </c>
      <c r="F12" s="19">
        <v>8</v>
      </c>
      <c r="G12" s="19"/>
      <c r="H12" s="19"/>
      <c r="I12" s="19"/>
      <c r="J12" s="99" t="s">
        <v>338</v>
      </c>
    </row>
    <row r="13" spans="1:10" ht="15.5" x14ac:dyDescent="0.35">
      <c r="A13" s="8">
        <f>'Data Siswa'!A11</f>
        <v>10</v>
      </c>
      <c r="B13" s="101" t="str">
        <f>'Data Siswa'!B11</f>
        <v>LUTHFI RAMADHAN</v>
      </c>
      <c r="C13" s="8" t="str">
        <f>'Data Siswa'!C11</f>
        <v>0469</v>
      </c>
      <c r="D13" s="19">
        <v>8</v>
      </c>
      <c r="E13" s="19">
        <v>8</v>
      </c>
      <c r="F13" s="19">
        <v>8</v>
      </c>
      <c r="G13" s="19"/>
      <c r="H13" s="19"/>
      <c r="I13" s="19"/>
      <c r="J13" s="99" t="s">
        <v>338</v>
      </c>
    </row>
    <row r="14" spans="1:10" ht="15.5" x14ac:dyDescent="0.35">
      <c r="A14" s="8">
        <f>'Data Siswa'!A12</f>
        <v>11</v>
      </c>
      <c r="B14" s="101" t="str">
        <f>'Data Siswa'!B12</f>
        <v>MAULIDAN FAHRI BASTAMAN</v>
      </c>
      <c r="C14" s="8" t="str">
        <f>'Data Siswa'!C12</f>
        <v>0470</v>
      </c>
      <c r="D14" s="19">
        <v>8</v>
      </c>
      <c r="E14" s="19">
        <v>8</v>
      </c>
      <c r="F14" s="19">
        <v>8</v>
      </c>
      <c r="G14" s="19"/>
      <c r="H14" s="19"/>
      <c r="I14" s="19"/>
      <c r="J14" s="99" t="s">
        <v>338</v>
      </c>
    </row>
    <row r="15" spans="1:10" ht="15.5" x14ac:dyDescent="0.35">
      <c r="A15" s="8">
        <f>'Data Siswa'!A13</f>
        <v>12</v>
      </c>
      <c r="B15" s="101" t="str">
        <f>'Data Siswa'!B13</f>
        <v>MOCHAMMAD FIKRI</v>
      </c>
      <c r="C15" s="8" t="str">
        <f>'Data Siswa'!C13</f>
        <v>0471</v>
      </c>
      <c r="D15" s="19">
        <v>8</v>
      </c>
      <c r="E15" s="19">
        <v>8</v>
      </c>
      <c r="F15" s="19">
        <v>8</v>
      </c>
      <c r="G15" s="19"/>
      <c r="H15" s="19"/>
      <c r="I15" s="19"/>
      <c r="J15" s="99" t="s">
        <v>338</v>
      </c>
    </row>
    <row r="16" spans="1:10" ht="15.5" x14ac:dyDescent="0.35">
      <c r="A16" s="8">
        <f>'Data Siswa'!A14</f>
        <v>13</v>
      </c>
      <c r="B16" s="101" t="str">
        <f>'Data Siswa'!B14</f>
        <v>MUHAMAD ANDREAN</v>
      </c>
      <c r="C16" s="8" t="str">
        <f>'Data Siswa'!C14</f>
        <v>0472</v>
      </c>
      <c r="D16" s="19">
        <v>8</v>
      </c>
      <c r="E16" s="19">
        <v>8</v>
      </c>
      <c r="F16" s="19">
        <v>8</v>
      </c>
      <c r="G16" s="19"/>
      <c r="H16" s="19"/>
      <c r="I16" s="19"/>
      <c r="J16" s="99" t="s">
        <v>338</v>
      </c>
    </row>
    <row r="17" spans="1:10" ht="15.5" x14ac:dyDescent="0.35">
      <c r="A17" s="8">
        <f>'Data Siswa'!A15</f>
        <v>14</v>
      </c>
      <c r="B17" s="101" t="str">
        <f>'Data Siswa'!B15</f>
        <v>MUHAMAD FEBRIANSYAH</v>
      </c>
      <c r="C17" s="8" t="str">
        <f>'Data Siswa'!C15</f>
        <v>0473</v>
      </c>
      <c r="D17" s="19">
        <v>8</v>
      </c>
      <c r="E17" s="19">
        <v>8</v>
      </c>
      <c r="F17" s="19">
        <v>8</v>
      </c>
      <c r="G17" s="19"/>
      <c r="H17" s="19"/>
      <c r="I17" s="19"/>
      <c r="J17" s="99" t="s">
        <v>338</v>
      </c>
    </row>
    <row r="18" spans="1:10" ht="15.5" x14ac:dyDescent="0.35">
      <c r="A18" s="8">
        <f>'Data Siswa'!A16</f>
        <v>15</v>
      </c>
      <c r="B18" s="101" t="str">
        <f>'Data Siswa'!B16</f>
        <v>MUHAMAD HILMAN</v>
      </c>
      <c r="C18" s="8" t="str">
        <f>'Data Siswa'!C16</f>
        <v>0474</v>
      </c>
      <c r="D18" s="19">
        <v>8</v>
      </c>
      <c r="E18" s="19">
        <v>8</v>
      </c>
      <c r="F18" s="19">
        <v>8</v>
      </c>
      <c r="G18" s="19"/>
      <c r="H18" s="19"/>
      <c r="I18" s="19"/>
      <c r="J18" s="99" t="s">
        <v>338</v>
      </c>
    </row>
    <row r="19" spans="1:10" ht="15.5" x14ac:dyDescent="0.35">
      <c r="A19" s="8">
        <f>'Data Siswa'!A17</f>
        <v>16</v>
      </c>
      <c r="B19" s="101" t="str">
        <f>'Data Siswa'!B17</f>
        <v>MUHAMAD RIZKI FADILAH</v>
      </c>
      <c r="C19" s="8" t="str">
        <f>'Data Siswa'!C17</f>
        <v>0475</v>
      </c>
      <c r="D19" s="19">
        <v>8</v>
      </c>
      <c r="E19" s="19">
        <v>8</v>
      </c>
      <c r="F19" s="19">
        <v>8</v>
      </c>
      <c r="G19" s="19"/>
      <c r="H19" s="19"/>
      <c r="I19" s="19"/>
      <c r="J19" s="99" t="s">
        <v>338</v>
      </c>
    </row>
    <row r="20" spans="1:10" ht="15.5" x14ac:dyDescent="0.35">
      <c r="A20" s="8">
        <f>'Data Siswa'!A18</f>
        <v>17</v>
      </c>
      <c r="B20" s="101" t="str">
        <f>'Data Siswa'!B18</f>
        <v>MUHAMAD YUSUF IRFAN</v>
      </c>
      <c r="C20" s="8" t="str">
        <f>'Data Siswa'!C18</f>
        <v>0476</v>
      </c>
      <c r="D20" s="19">
        <v>8</v>
      </c>
      <c r="E20" s="19">
        <v>8</v>
      </c>
      <c r="F20" s="19">
        <v>8</v>
      </c>
      <c r="G20" s="19"/>
      <c r="H20" s="19"/>
      <c r="I20" s="19"/>
      <c r="J20" s="99" t="s">
        <v>338</v>
      </c>
    </row>
    <row r="21" spans="1:10" ht="15.5" x14ac:dyDescent="0.35">
      <c r="A21" s="8">
        <f>'Data Siswa'!A19</f>
        <v>18</v>
      </c>
      <c r="B21" s="101" t="str">
        <f>'Data Siswa'!B19</f>
        <v>MUHAMAD ZIDAN</v>
      </c>
      <c r="C21" s="8" t="str">
        <f>'Data Siswa'!C19</f>
        <v>0477</v>
      </c>
      <c r="D21" s="19">
        <v>8</v>
      </c>
      <c r="E21" s="19">
        <v>8</v>
      </c>
      <c r="F21" s="19">
        <v>8</v>
      </c>
      <c r="G21" s="19"/>
      <c r="H21" s="19"/>
      <c r="I21" s="19"/>
      <c r="J21" s="99" t="s">
        <v>338</v>
      </c>
    </row>
    <row r="22" spans="1:10" ht="15.5" x14ac:dyDescent="0.35">
      <c r="A22" s="8">
        <f>'Data Siswa'!A20</f>
        <v>19</v>
      </c>
      <c r="B22" s="101" t="str">
        <f>'Data Siswa'!B20</f>
        <v>MUHAMMAD AZIZ ABDIYANTO</v>
      </c>
      <c r="C22" s="8" t="str">
        <f>'Data Siswa'!C20</f>
        <v>0478</v>
      </c>
      <c r="D22" s="19">
        <v>8</v>
      </c>
      <c r="E22" s="19">
        <v>8</v>
      </c>
      <c r="F22" s="19">
        <v>8</v>
      </c>
      <c r="G22" s="19"/>
      <c r="H22" s="19"/>
      <c r="I22" s="19"/>
      <c r="J22" s="99" t="s">
        <v>338</v>
      </c>
    </row>
    <row r="23" spans="1:10" ht="15.5" x14ac:dyDescent="0.35">
      <c r="A23" s="8">
        <f>'Data Siswa'!A21</f>
        <v>20</v>
      </c>
      <c r="B23" s="101" t="str">
        <f>'Data Siswa'!B21</f>
        <v>MUHAMMAD TANZILUL MUNZIAT</v>
      </c>
      <c r="C23" s="8" t="str">
        <f>'Data Siswa'!C21</f>
        <v>0479</v>
      </c>
      <c r="D23" s="19">
        <v>8</v>
      </c>
      <c r="E23" s="19">
        <v>8</v>
      </c>
      <c r="F23" s="19">
        <v>8</v>
      </c>
      <c r="G23" s="19"/>
      <c r="H23" s="19"/>
      <c r="I23" s="19"/>
      <c r="J23" s="99" t="s">
        <v>338</v>
      </c>
    </row>
    <row r="24" spans="1:10" ht="15.5" x14ac:dyDescent="0.35">
      <c r="A24" s="8">
        <f>'Data Siswa'!A22</f>
        <v>21</v>
      </c>
      <c r="B24" s="101" t="str">
        <f>'Data Siswa'!B22</f>
        <v>MUHAMMAD WILDANUL HUDA</v>
      </c>
      <c r="C24" s="8" t="str">
        <f>'Data Siswa'!C22</f>
        <v>0480</v>
      </c>
      <c r="D24" s="19">
        <v>8</v>
      </c>
      <c r="E24" s="19">
        <v>8</v>
      </c>
      <c r="F24" s="19">
        <v>8</v>
      </c>
      <c r="G24" s="19"/>
      <c r="H24" s="19"/>
      <c r="I24" s="19"/>
      <c r="J24" s="99" t="s">
        <v>338</v>
      </c>
    </row>
    <row r="25" spans="1:10" ht="15.5" x14ac:dyDescent="0.35">
      <c r="A25" s="8">
        <f>'Data Siswa'!A23</f>
        <v>22</v>
      </c>
      <c r="B25" s="101" t="str">
        <f>'Data Siswa'!B23</f>
        <v>NAUFAL RIZKIA AL THAF</v>
      </c>
      <c r="C25" s="8" t="str">
        <f>'Data Siswa'!C23</f>
        <v>0481</v>
      </c>
      <c r="D25" s="19">
        <v>8</v>
      </c>
      <c r="E25" s="19">
        <v>8</v>
      </c>
      <c r="F25" s="19">
        <v>8</v>
      </c>
      <c r="G25" s="19"/>
      <c r="H25" s="19"/>
      <c r="I25" s="19"/>
      <c r="J25" s="99" t="s">
        <v>338</v>
      </c>
    </row>
    <row r="26" spans="1:10" ht="15.5" x14ac:dyDescent="0.35">
      <c r="A26" s="8">
        <f>'Data Siswa'!A24</f>
        <v>23</v>
      </c>
      <c r="B26" s="101" t="str">
        <f>'Data Siswa'!B24</f>
        <v>ROHIN ARPINAS</v>
      </c>
      <c r="C26" s="8" t="str">
        <f>'Data Siswa'!C24</f>
        <v>0482</v>
      </c>
      <c r="D26" s="19">
        <v>8</v>
      </c>
      <c r="E26" s="19">
        <v>8</v>
      </c>
      <c r="F26" s="19">
        <v>8</v>
      </c>
      <c r="G26" s="19"/>
      <c r="H26" s="19"/>
      <c r="I26" s="19"/>
      <c r="J26" s="99" t="s">
        <v>338</v>
      </c>
    </row>
    <row r="27" spans="1:10" ht="15.5" x14ac:dyDescent="0.35">
      <c r="A27" s="8">
        <f>'Data Siswa'!A25</f>
        <v>24</v>
      </c>
      <c r="B27" s="101">
        <f>'Data Siswa'!B25</f>
        <v>0</v>
      </c>
      <c r="C27" s="8">
        <f>'Data Siswa'!C25</f>
        <v>0</v>
      </c>
      <c r="D27" s="19"/>
      <c r="E27" s="19"/>
      <c r="F27" s="19"/>
      <c r="G27" s="19"/>
      <c r="H27" s="19"/>
      <c r="I27" s="19"/>
      <c r="J27" s="99" t="s">
        <v>338</v>
      </c>
    </row>
    <row r="28" spans="1:10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99" t="s">
        <v>338</v>
      </c>
    </row>
    <row r="29" spans="1:10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99" t="s">
        <v>338</v>
      </c>
    </row>
    <row r="30" spans="1:10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99" t="s">
        <v>338</v>
      </c>
    </row>
    <row r="31" spans="1:10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99" t="s">
        <v>338</v>
      </c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99" t="s">
        <v>338</v>
      </c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99" t="s">
        <v>338</v>
      </c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3" zoomScale="81" zoomScaleNormal="70" zoomScalePageLayoutView="81" workbookViewId="0">
      <selection activeCell="T8" sqref="T8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5" t="str">
        <f>VLOOKUP($U$8,'Nilai Tahriri'!$A$2:$X$41,2,FALSE)&amp;" ( "&amp;VLOOKUP($U$8,'Data Siswa'!$A$2:$D$41,3,FALSE)&amp;" )"</f>
        <v>ROHIN ARPINAS ( 0482 )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2:28" ht="11.5" customHeight="1" x14ac:dyDescent="0.35"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166" t="str">
        <f>Biodata!$B$12</f>
        <v>١٤٤٥ - ١٤٤٦ ه</v>
      </c>
      <c r="C3" s="166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69" t="str">
        <f>Biodata!$B$7</f>
        <v>الفصل الدراسي : الأول</v>
      </c>
      <c r="M3" s="169" t="str">
        <f>Biodata!$B$4</f>
        <v>الصف  : الخامس ج للبنين</v>
      </c>
      <c r="N3" s="169"/>
      <c r="O3" s="171" t="str">
        <f>(VLOOKUP($U$8,'Data Siswa'!$A$2:$D$41,4,FALSE))</f>
        <v xml:space="preserve"> </v>
      </c>
      <c r="P3" s="171"/>
      <c r="Q3" s="171"/>
      <c r="R3" s="173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75" t="str">
        <f>Biodata!$B$11</f>
        <v>٢٠٢٤ - ٢٠٢٥ م</v>
      </c>
      <c r="C4" s="175"/>
      <c r="D4" s="168"/>
      <c r="E4" s="168"/>
      <c r="F4" s="168"/>
      <c r="G4" s="168"/>
      <c r="H4" s="168"/>
      <c r="I4" s="168"/>
      <c r="J4" s="168"/>
      <c r="K4" s="170"/>
      <c r="L4" s="112"/>
      <c r="M4" s="170"/>
      <c r="N4" s="170"/>
      <c r="O4" s="172"/>
      <c r="P4" s="172"/>
      <c r="Q4" s="172"/>
      <c r="R4" s="17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82" t="s">
        <v>269</v>
      </c>
      <c r="C6" s="183"/>
      <c r="D6" s="183"/>
      <c r="E6" s="183"/>
      <c r="F6" s="183"/>
      <c r="G6" s="183"/>
      <c r="H6" s="183"/>
      <c r="I6" s="183"/>
      <c r="J6" s="183"/>
      <c r="K6" s="183"/>
      <c r="L6" s="184" t="s">
        <v>0</v>
      </c>
      <c r="M6" s="182" t="s">
        <v>269</v>
      </c>
      <c r="N6" s="183"/>
      <c r="O6" s="183"/>
      <c r="P6" s="183"/>
      <c r="Q6" s="183"/>
      <c r="R6" s="19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98" t="s">
        <v>1</v>
      </c>
      <c r="C7" s="199"/>
      <c r="D7" s="199"/>
      <c r="E7" s="199"/>
      <c r="F7" s="199"/>
      <c r="G7" s="199" t="s">
        <v>2</v>
      </c>
      <c r="H7" s="199"/>
      <c r="I7" s="199"/>
      <c r="J7" s="199"/>
      <c r="K7" s="199"/>
      <c r="L7" s="185"/>
      <c r="M7" s="198" t="s">
        <v>1</v>
      </c>
      <c r="N7" s="199"/>
      <c r="O7" s="199" t="s">
        <v>3</v>
      </c>
      <c r="P7" s="199"/>
      <c r="Q7" s="199"/>
      <c r="R7" s="19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200" t="s">
        <v>5</v>
      </c>
      <c r="D8" s="200"/>
      <c r="E8" s="200"/>
      <c r="F8" s="200"/>
      <c r="G8" s="200"/>
      <c r="H8" s="200"/>
      <c r="I8" s="200"/>
      <c r="J8" s="200"/>
      <c r="K8" s="200"/>
      <c r="L8" s="186"/>
      <c r="M8" s="67" t="s">
        <v>4</v>
      </c>
      <c r="N8" s="33" t="s">
        <v>5</v>
      </c>
      <c r="O8" s="200"/>
      <c r="P8" s="200"/>
      <c r="Q8" s="200"/>
      <c r="R8" s="197"/>
      <c r="S8" s="23"/>
      <c r="T8" s="23"/>
      <c r="U8" s="25">
        <v>23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70" t="s">
        <v>142</v>
      </c>
      <c r="C9" s="271"/>
      <c r="D9" s="271"/>
      <c r="E9" s="271"/>
      <c r="F9" s="271"/>
      <c r="G9" s="271"/>
      <c r="H9" s="271"/>
      <c r="I9" s="271"/>
      <c r="J9" s="271"/>
      <c r="K9" s="271"/>
      <c r="L9" s="271"/>
      <c r="M9" s="89" t="str">
        <f>VLOOKUP(N9,Sheet1!$A$1:$B$93,2)</f>
        <v xml:space="preserve"> </v>
      </c>
      <c r="N9" s="94"/>
      <c r="O9" s="96"/>
      <c r="P9" s="191" t="s">
        <v>100</v>
      </c>
      <c r="Q9" s="19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ستّ</v>
      </c>
      <c r="C10" s="275">
        <f>VLOOKUP($U$8,'Nilai Syafahi'!$A$4:$Z$43,4,FALSE)</f>
        <v>6</v>
      </c>
      <c r="D10" s="276"/>
      <c r="E10" s="276"/>
      <c r="F10" s="276"/>
      <c r="G10" s="193" t="s">
        <v>144</v>
      </c>
      <c r="H10" s="194"/>
      <c r="I10" s="194"/>
      <c r="J10" s="194"/>
      <c r="K10" s="195"/>
      <c r="L10" s="82">
        <v>40</v>
      </c>
      <c r="M10" s="90" t="str">
        <f>VLOOKUP(N10,Sheet1!$A$1:$B$93,2)</f>
        <v xml:space="preserve"> خمس و نصف</v>
      </c>
      <c r="N10" s="68">
        <f>VLOOKUP($U$8,'Nilai Tahriri'!$A$2:$AJ$41,4,FALSE)</f>
        <v>5.5</v>
      </c>
      <c r="O10" s="92"/>
      <c r="P10" s="189" t="s">
        <v>101</v>
      </c>
      <c r="Q10" s="190"/>
      <c r="R10" s="62">
        <v>2</v>
      </c>
      <c r="S10" s="23"/>
      <c r="T10" s="23"/>
      <c r="U10" s="176" t="s">
        <v>152</v>
      </c>
      <c r="V10" s="178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اربع و نصف</v>
      </c>
      <c r="C11" s="187">
        <f>VLOOKUP($U$8,'Nilai Syafahi'!$A$4:$Z$43,5,FALSE)</f>
        <v>4.5</v>
      </c>
      <c r="D11" s="188"/>
      <c r="E11" s="188"/>
      <c r="F11" s="188"/>
      <c r="G11" s="206"/>
      <c r="H11" s="207"/>
      <c r="I11" s="207"/>
      <c r="J11" s="207"/>
      <c r="K11" s="66" t="s">
        <v>6</v>
      </c>
      <c r="L11" s="83">
        <v>41</v>
      </c>
      <c r="M11" s="90" t="str">
        <f>VLOOKUP(N11,Sheet1!$A$1:$B$93,2)</f>
        <v xml:space="preserve"> خمس</v>
      </c>
      <c r="N11" s="68">
        <f>VLOOKUP($U$8,'Nilai Tahriri'!$A$2:$AJ$41,5,FALSE)</f>
        <v>5</v>
      </c>
      <c r="O11" s="92"/>
      <c r="P11" s="189" t="s">
        <v>102</v>
      </c>
      <c r="Q11" s="190"/>
      <c r="R11" s="62">
        <v>3</v>
      </c>
      <c r="S11" s="23"/>
      <c r="T11" s="23"/>
      <c r="U11" s="177"/>
      <c r="V11" s="17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 و نصف</v>
      </c>
      <c r="C12" s="187">
        <f>VLOOKUP($U$8,'Nilai Syafahi'!$A$4:$Z$43,6,FALSE)</f>
        <v>5.5</v>
      </c>
      <c r="D12" s="188"/>
      <c r="E12" s="188"/>
      <c r="F12" s="188"/>
      <c r="G12" s="206"/>
      <c r="H12" s="207"/>
      <c r="I12" s="207"/>
      <c r="J12" s="207"/>
      <c r="K12" s="66" t="s">
        <v>8</v>
      </c>
      <c r="L12" s="83">
        <v>42</v>
      </c>
      <c r="M12" s="90" t="str">
        <f>VLOOKUP(N12,Sheet1!$A$1:$B$93,2)</f>
        <v xml:space="preserve"> اربع</v>
      </c>
      <c r="N12" s="68">
        <f>VLOOKUP($U$8,'Nilai Tahriri'!$A$2:$AJ$41,6,FALSE)</f>
        <v>4</v>
      </c>
      <c r="O12" s="92"/>
      <c r="P12" s="189" t="s">
        <v>103</v>
      </c>
      <c r="Q12" s="190"/>
      <c r="R12" s="62">
        <v>4</v>
      </c>
      <c r="S12" s="23"/>
      <c r="T12" s="23"/>
      <c r="U12" s="176" t="s">
        <v>153</v>
      </c>
      <c r="V12" s="18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ستّ</v>
      </c>
      <c r="C13" s="187">
        <f>VLOOKUP($U$8,'Nilai Syafahi'!$A$4:$Z$43,7,FALSE)</f>
        <v>6</v>
      </c>
      <c r="D13" s="188"/>
      <c r="E13" s="188"/>
      <c r="F13" s="188"/>
      <c r="G13" s="206"/>
      <c r="H13" s="207"/>
      <c r="I13" s="207"/>
      <c r="J13" s="207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89" t="s">
        <v>104</v>
      </c>
      <c r="Q13" s="190"/>
      <c r="R13" s="62">
        <v>5</v>
      </c>
      <c r="S13" s="23"/>
      <c r="T13" s="23"/>
      <c r="U13" s="177"/>
      <c r="V13" s="17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ست و تسع</v>
      </c>
      <c r="C14" s="187">
        <f>VLOOKUP($U$8,'Nilai Syafahi'!$A$4:$Z$43,8,FALSE)</f>
        <v>6.9</v>
      </c>
      <c r="D14" s="188"/>
      <c r="E14" s="188"/>
      <c r="F14" s="188"/>
      <c r="G14" s="206"/>
      <c r="H14" s="207"/>
      <c r="I14" s="207"/>
      <c r="J14" s="207"/>
      <c r="K14" s="66" t="s">
        <v>12</v>
      </c>
      <c r="L14" s="83">
        <v>44</v>
      </c>
      <c r="M14" s="90" t="str">
        <f>VLOOKUP(N14,Sheet1!$A$1:$B$93,2)</f>
        <v xml:space="preserve"> اربع</v>
      </c>
      <c r="N14" s="68">
        <f>VLOOKUP($U$8,'Nilai Tahriri'!$A$2:$AJ$41,8,FALSE)</f>
        <v>4</v>
      </c>
      <c r="O14" s="92"/>
      <c r="P14" s="189" t="s">
        <v>105</v>
      </c>
      <c r="Q14" s="190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ستّ</v>
      </c>
      <c r="C15" s="187">
        <f>VLOOKUP($U$8,'Nilai Syafahi'!$A$4:$Z$43,9,FALSE)</f>
        <v>6</v>
      </c>
      <c r="D15" s="188"/>
      <c r="E15" s="188"/>
      <c r="F15" s="188"/>
      <c r="G15" s="206"/>
      <c r="H15" s="207"/>
      <c r="I15" s="207"/>
      <c r="J15" s="207"/>
      <c r="K15" s="66" t="s">
        <v>14</v>
      </c>
      <c r="L15" s="83">
        <v>45</v>
      </c>
      <c r="M15" s="90" t="str">
        <f>VLOOKUP(N15,Sheet1!$A$1:$B$93,2)</f>
        <v xml:space="preserve"> اربع</v>
      </c>
      <c r="N15" s="68">
        <f>VLOOKUP($U$8,'Nilai Tahriri'!$A$2:$AJ$41,9,FALSE)</f>
        <v>4</v>
      </c>
      <c r="O15" s="92"/>
      <c r="P15" s="189" t="s">
        <v>106</v>
      </c>
      <c r="Q15" s="190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70" t="s">
        <v>143</v>
      </c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90" t="str">
        <f>VLOOKUP(N16,Sheet1!$A$1:$B$93,2)</f>
        <v xml:space="preserve"> </v>
      </c>
      <c r="N16" s="68"/>
      <c r="O16" s="92"/>
      <c r="P16" s="189" t="s">
        <v>107</v>
      </c>
      <c r="Q16" s="190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 و نصف</v>
      </c>
      <c r="C17" s="187">
        <f>VLOOKUP($U$8,'Nilai Syafahi'!$A$4:$Z$43,10,FALSE)</f>
        <v>5.5</v>
      </c>
      <c r="D17" s="188"/>
      <c r="E17" s="188"/>
      <c r="F17" s="188"/>
      <c r="G17" s="203" t="s">
        <v>66</v>
      </c>
      <c r="H17" s="204"/>
      <c r="I17" s="204"/>
      <c r="J17" s="204"/>
      <c r="K17" s="205"/>
      <c r="L17" s="83">
        <v>46</v>
      </c>
      <c r="M17" s="90" t="str">
        <f>VLOOKUP(N17,Sheet1!$A$1:$B$93,2)</f>
        <v xml:space="preserve"> خمس</v>
      </c>
      <c r="N17" s="68">
        <f>VLOOKUP($U$8,'Nilai Tahriri'!$A$2:$AJ$41,10,FALSE)</f>
        <v>5</v>
      </c>
      <c r="O17" s="92"/>
      <c r="P17" s="189" t="s">
        <v>108</v>
      </c>
      <c r="Q17" s="190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 و نصف</v>
      </c>
      <c r="C18" s="187">
        <f>VLOOKUP($U$8,'Nilai Syafahi'!$A$4:$Z$43,11,FALSE)</f>
        <v>5.5</v>
      </c>
      <c r="D18" s="188"/>
      <c r="E18" s="188"/>
      <c r="F18" s="188"/>
      <c r="G18" s="203" t="s">
        <v>180</v>
      </c>
      <c r="H18" s="204" t="s">
        <v>180</v>
      </c>
      <c r="I18" s="204" t="s">
        <v>180</v>
      </c>
      <c r="J18" s="204" t="s">
        <v>180</v>
      </c>
      <c r="K18" s="205" t="s">
        <v>180</v>
      </c>
      <c r="L18" s="83">
        <v>47</v>
      </c>
      <c r="M18" s="90" t="str">
        <f>VLOOKUP(N18,Sheet1!$A$1:$B$93,2)</f>
        <v xml:space="preserve"> اربع</v>
      </c>
      <c r="N18" s="68">
        <f>VLOOKUP($U$8,'Nilai Tahriri'!$A$2:$AJ$41,11,FALSE)</f>
        <v>4</v>
      </c>
      <c r="O18" s="92"/>
      <c r="P18" s="189" t="s">
        <v>109</v>
      </c>
      <c r="Q18" s="190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</v>
      </c>
      <c r="C19" s="187">
        <f>VLOOKUP($U$8,'Nilai Syafahi'!$A$4:$Z$43,12,FALSE)</f>
        <v>5</v>
      </c>
      <c r="D19" s="188"/>
      <c r="E19" s="188"/>
      <c r="F19" s="188"/>
      <c r="G19" s="203" t="s">
        <v>88</v>
      </c>
      <c r="H19" s="204"/>
      <c r="I19" s="204"/>
      <c r="J19" s="204"/>
      <c r="K19" s="205"/>
      <c r="L19" s="83">
        <v>48</v>
      </c>
      <c r="M19" s="90" t="str">
        <f>VLOOKUP(N19,Sheet1!$A$1:$B$93,2)</f>
        <v xml:space="preserve"> اربع</v>
      </c>
      <c r="N19" s="68">
        <f>VLOOKUP($U$8,'Nilai Tahriri'!$A$2:$AJ$41,12,FALSE)</f>
        <v>4</v>
      </c>
      <c r="O19" s="92"/>
      <c r="P19" s="189" t="s">
        <v>110</v>
      </c>
      <c r="Q19" s="190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خمس</v>
      </c>
      <c r="C20" s="187">
        <f>VLOOKUP($U$8,'Nilai Syafahi'!$A$4:$Z$43,13,FALSE)</f>
        <v>5</v>
      </c>
      <c r="D20" s="188"/>
      <c r="E20" s="188"/>
      <c r="F20" s="188"/>
      <c r="G20" s="203" t="s">
        <v>268</v>
      </c>
      <c r="H20" s="204"/>
      <c r="I20" s="204"/>
      <c r="J20" s="204"/>
      <c r="K20" s="205"/>
      <c r="L20" s="83">
        <v>49</v>
      </c>
      <c r="M20" s="90" t="str">
        <f>VLOOKUP(N20,Sheet1!$A$1:$B$93,2)</f>
        <v xml:space="preserve"> خمس</v>
      </c>
      <c r="N20" s="68">
        <f>VLOOKUP($U$8,'Nilai Tahriri'!$A$2:$AJ$41,13,FALSE)</f>
        <v>5</v>
      </c>
      <c r="O20" s="92"/>
      <c r="P20" s="189" t="s">
        <v>111</v>
      </c>
      <c r="Q20" s="190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خمس</v>
      </c>
      <c r="C21" s="187">
        <f>VLOOKUP($U$8,'Nilai Syafahi'!$A$4:$Z$43,14,FALSE)</f>
        <v>5</v>
      </c>
      <c r="D21" s="188"/>
      <c r="E21" s="188"/>
      <c r="F21" s="188"/>
      <c r="G21" s="203" t="s">
        <v>89</v>
      </c>
      <c r="H21" s="204"/>
      <c r="I21" s="204"/>
      <c r="J21" s="204"/>
      <c r="K21" s="205"/>
      <c r="L21" s="83">
        <v>50</v>
      </c>
      <c r="M21" s="90" t="str">
        <f>VLOOKUP(N21,Sheet1!$A$1:$B$93,2)</f>
        <v xml:space="preserve"> خمس و نصف</v>
      </c>
      <c r="N21" s="68">
        <f>VLOOKUP($U$8,'Nilai Tahriri'!$A$2:$AJ$41,14,FALSE)</f>
        <v>5.5</v>
      </c>
      <c r="O21" s="92"/>
      <c r="P21" s="189" t="s">
        <v>112</v>
      </c>
      <c r="Q21" s="190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01" t="s">
        <v>140</v>
      </c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90" t="str">
        <f>VLOOKUP(N22,Sheet1!$A$1:$B$93,2)</f>
        <v xml:space="preserve"> ستّ</v>
      </c>
      <c r="N22" s="68">
        <f>VLOOKUP($U$8,'Nilai Tahriri'!$A$2:$AJ$41,15,FALSE)</f>
        <v>6</v>
      </c>
      <c r="O22" s="92"/>
      <c r="P22" s="189" t="s">
        <v>10</v>
      </c>
      <c r="Q22" s="190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ستّ</v>
      </c>
      <c r="C23" s="209">
        <f>VLOOKUP($U$8,'Nilai Syafahi'!$A$4:$Z$43,15,FALSE)</f>
        <v>6</v>
      </c>
      <c r="D23" s="209"/>
      <c r="E23" s="209"/>
      <c r="F23" s="209"/>
      <c r="G23" s="210" t="s">
        <v>182</v>
      </c>
      <c r="H23" s="211"/>
      <c r="I23" s="211"/>
      <c r="J23" s="211"/>
      <c r="K23" s="211"/>
      <c r="L23" s="84">
        <v>51</v>
      </c>
      <c r="M23" s="90" t="str">
        <f>VLOOKUP(N23,Sheet1!$A$1:$B$93,2)</f>
        <v xml:space="preserve"> خمس و نصف</v>
      </c>
      <c r="N23" s="68">
        <f>VLOOKUP($U$8,'Nilai Tahriri'!$A$2:$AJ$41,16,FALSE)</f>
        <v>5.5</v>
      </c>
      <c r="O23" s="92"/>
      <c r="P23" s="189" t="s">
        <v>12</v>
      </c>
      <c r="Q23" s="190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ستّ</v>
      </c>
      <c r="C24" s="209">
        <f>VLOOKUP($U$8,'Nilai Syafahi'!$A$4:$Z$43,16,FALSE)</f>
        <v>6</v>
      </c>
      <c r="D24" s="209"/>
      <c r="E24" s="209"/>
      <c r="F24" s="209"/>
      <c r="G24" s="208" t="s">
        <v>181</v>
      </c>
      <c r="H24" s="189"/>
      <c r="I24" s="189"/>
      <c r="J24" s="189"/>
      <c r="K24" s="189"/>
      <c r="L24" s="85">
        <v>52</v>
      </c>
      <c r="M24" s="90" t="str">
        <f>VLOOKUP(N24,Sheet1!$A$1:$B$93,2)</f>
        <v xml:space="preserve"> اربع</v>
      </c>
      <c r="N24" s="68">
        <f>VLOOKUP($U$8,'Nilai Tahriri'!$A$2:$AJ$41,17,FALSE)</f>
        <v>4</v>
      </c>
      <c r="O24" s="92"/>
      <c r="P24" s="189" t="s">
        <v>113</v>
      </c>
      <c r="Q24" s="190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اربع و نصف</v>
      </c>
      <c r="C25" s="209">
        <f>VLOOKUP($U$8,'Nilai Syafahi'!$A$4:$Z$43,17,FALSE)</f>
        <v>4.5</v>
      </c>
      <c r="D25" s="209"/>
      <c r="E25" s="209"/>
      <c r="F25" s="209"/>
      <c r="G25" s="208" t="s">
        <v>16</v>
      </c>
      <c r="H25" s="189"/>
      <c r="I25" s="189"/>
      <c r="J25" s="189"/>
      <c r="K25" s="189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89" t="s">
        <v>114</v>
      </c>
      <c r="Q25" s="190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خمس و نصف</v>
      </c>
      <c r="C26" s="209">
        <f>VLOOKUP($U$8,'Nilai Syafahi'!$A$4:$Z$43,18,FALSE)</f>
        <v>5.5</v>
      </c>
      <c r="D26" s="209"/>
      <c r="E26" s="209"/>
      <c r="F26" s="209"/>
      <c r="G26" s="208" t="s">
        <v>104</v>
      </c>
      <c r="H26" s="189"/>
      <c r="I26" s="189"/>
      <c r="J26" s="189"/>
      <c r="K26" s="189"/>
      <c r="L26" s="85">
        <v>54</v>
      </c>
      <c r="M26" s="90" t="str">
        <f>VLOOKUP(N26,Sheet1!$A$1:$B$93,2)</f>
        <v xml:space="preserve"> اربع و نصف</v>
      </c>
      <c r="N26" s="68">
        <f>VLOOKUP($U$8,'Nilai Tahriri'!$A$2:$AJ$41,19,FALSE)</f>
        <v>4.5</v>
      </c>
      <c r="O26" s="92"/>
      <c r="P26" s="189" t="s">
        <v>115</v>
      </c>
      <c r="Q26" s="190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209"/>
      <c r="D27" s="209"/>
      <c r="E27" s="209"/>
      <c r="F27" s="209"/>
      <c r="G27" s="284" t="s">
        <v>183</v>
      </c>
      <c r="H27" s="285"/>
      <c r="I27" s="285"/>
      <c r="J27" s="285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89" t="s">
        <v>116</v>
      </c>
      <c r="Q27" s="190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خمس</v>
      </c>
      <c r="C28" s="249">
        <f>VLOOKUP($U$8,'Nilai Syafahi'!$A$4:$Z$43,19,FALSE)</f>
        <v>5</v>
      </c>
      <c r="D28" s="249"/>
      <c r="E28" s="249"/>
      <c r="F28" s="249"/>
      <c r="G28" s="208" t="s">
        <v>19</v>
      </c>
      <c r="H28" s="189"/>
      <c r="I28" s="189"/>
      <c r="J28" s="189"/>
      <c r="K28" s="189"/>
      <c r="L28" s="87">
        <v>56</v>
      </c>
      <c r="M28" s="90" t="str">
        <f>VLOOKUP(N28,Sheet1!$A$1:$B$93,2)</f>
        <v xml:space="preserve"> </v>
      </c>
      <c r="N28" s="68"/>
      <c r="O28" s="92"/>
      <c r="P28" s="189" t="s">
        <v>117</v>
      </c>
      <c r="Q28" s="190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70" t="s">
        <v>141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90" t="str">
        <f>VLOOKUP(N29,Sheet1!$A$1:$B$93,2)</f>
        <v xml:space="preserve"> اربع و نصف</v>
      </c>
      <c r="N29" s="68">
        <f>VLOOKUP($U$8,'Nilai Tahriri'!$A$2:$AJ$41,20,FALSE)</f>
        <v>4.5</v>
      </c>
      <c r="O29" s="92"/>
      <c r="P29" s="189" t="s">
        <v>118</v>
      </c>
      <c r="Q29" s="190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209"/>
      <c r="D30" s="209"/>
      <c r="E30" s="209"/>
      <c r="F30" s="209"/>
      <c r="G30" s="193" t="s">
        <v>21</v>
      </c>
      <c r="H30" s="194"/>
      <c r="I30" s="194"/>
      <c r="J30" s="194"/>
      <c r="K30" s="195"/>
      <c r="L30" s="88">
        <v>57</v>
      </c>
      <c r="M30" s="90" t="str">
        <f>VLOOKUP(N30,Sheet1!$A$1:$B$93,2)</f>
        <v xml:space="preserve"> خمس</v>
      </c>
      <c r="N30" s="68">
        <f>VLOOKUP($U$8,'Nilai Tahriri'!$A$2:$AJ$41,21,FALSE)</f>
        <v>5</v>
      </c>
      <c r="O30" s="92"/>
      <c r="P30" s="189" t="s">
        <v>119</v>
      </c>
      <c r="Q30" s="190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209"/>
      <c r="D31" s="209"/>
      <c r="E31" s="209"/>
      <c r="F31" s="209"/>
      <c r="G31" s="208" t="s">
        <v>22</v>
      </c>
      <c r="H31" s="189"/>
      <c r="I31" s="189"/>
      <c r="J31" s="189"/>
      <c r="K31" s="190"/>
      <c r="L31" s="85">
        <v>58</v>
      </c>
      <c r="M31" s="90" t="str">
        <f>VLOOKUP(N31,Sheet1!$A$1:$B$93,2)</f>
        <v xml:space="preserve"> اربع</v>
      </c>
      <c r="N31" s="68">
        <f>VLOOKUP($U$8,'Nilai Tahriri'!$A$2:$AJ$41,22,FALSE)</f>
        <v>4</v>
      </c>
      <c r="O31" s="92"/>
      <c r="P31" s="189" t="s">
        <v>120</v>
      </c>
      <c r="Q31" s="190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212"/>
      <c r="D32" s="212"/>
      <c r="E32" s="212"/>
      <c r="F32" s="212"/>
      <c r="G32" s="208" t="s">
        <v>24</v>
      </c>
      <c r="H32" s="189"/>
      <c r="I32" s="189"/>
      <c r="J32" s="189"/>
      <c r="K32" s="190"/>
      <c r="L32" s="88">
        <v>59</v>
      </c>
      <c r="M32" s="90" t="str">
        <f>VLOOKUP(N32,Sheet1!$A$1:$B$93,2)</f>
        <v xml:space="preserve"> </v>
      </c>
      <c r="N32" s="68"/>
      <c r="O32" s="92"/>
      <c r="P32" s="189" t="s">
        <v>28</v>
      </c>
      <c r="Q32" s="190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212"/>
      <c r="D33" s="212"/>
      <c r="E33" s="212"/>
      <c r="F33" s="212"/>
      <c r="G33" s="281" t="s">
        <v>25</v>
      </c>
      <c r="H33" s="282"/>
      <c r="I33" s="282"/>
      <c r="J33" s="282"/>
      <c r="K33" s="283"/>
      <c r="L33" s="85">
        <v>60</v>
      </c>
      <c r="M33" s="90" t="str">
        <f>VLOOKUP(N33,Sheet1!$A$1:$B$93,2)</f>
        <v xml:space="preserve"> سبع</v>
      </c>
      <c r="N33" s="68">
        <f>VLOOKUP($U$8,'Nilai Tahriri'!$A$2:$AJ$41,23,FALSE)</f>
        <v>7</v>
      </c>
      <c r="O33" s="92"/>
      <c r="P33" s="189" t="s">
        <v>121</v>
      </c>
      <c r="Q33" s="190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53">
        <f>VLOOKUP($U$8,'Nilai Syafahi'!$A$4:$Z$43,20,FALSE)</f>
        <v>87.9</v>
      </c>
      <c r="C34" s="254"/>
      <c r="D34" s="254"/>
      <c r="E34" s="254"/>
      <c r="F34" s="254"/>
      <c r="G34" s="254"/>
      <c r="H34" s="254"/>
      <c r="I34" s="254"/>
      <c r="J34" s="254"/>
      <c r="K34" s="255" t="s">
        <v>27</v>
      </c>
      <c r="L34" s="256"/>
      <c r="M34" s="90" t="str">
        <f>VLOOKUP(N34,Sheet1!$A$1:$B$93,2)</f>
        <v xml:space="preserve"> خمس</v>
      </c>
      <c r="N34" s="68">
        <f>VLOOKUP($U$8,'Nilai Tahriri'!$A$2:$AJ$41,24,FALSE)</f>
        <v>5</v>
      </c>
      <c r="O34" s="92"/>
      <c r="P34" s="189" t="s">
        <v>122</v>
      </c>
      <c r="Q34" s="190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66"/>
      <c r="C35" s="267"/>
      <c r="D35" s="267"/>
      <c r="E35" s="267"/>
      <c r="F35" s="267"/>
      <c r="G35" s="267"/>
      <c r="H35" s="267"/>
      <c r="I35" s="267"/>
      <c r="J35" s="267"/>
      <c r="K35" s="268"/>
      <c r="L35" s="218"/>
      <c r="M35" s="90" t="str">
        <f>VLOOKUP(N35,Sheet1!$A$1:$B$93,2)</f>
        <v xml:space="preserve"> ثمان و اثنين</v>
      </c>
      <c r="N35" s="94">
        <f>VLOOKUP($U$8,'Nilai Tahriri'!$A$2:$AJ$41,25,FALSE)</f>
        <v>8.1999999999999993</v>
      </c>
      <c r="O35" s="97" t="s">
        <v>139</v>
      </c>
      <c r="P35" s="189" t="s">
        <v>123</v>
      </c>
      <c r="Q35" s="190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50" t="s">
        <v>31</v>
      </c>
      <c r="C36" s="251"/>
      <c r="D36" s="251"/>
      <c r="E36" s="251"/>
      <c r="F36" s="251"/>
      <c r="G36" s="251"/>
      <c r="H36" s="251"/>
      <c r="I36" s="251"/>
      <c r="J36" s="251"/>
      <c r="K36" s="252"/>
      <c r="L36" s="219"/>
      <c r="M36" s="90" t="str">
        <f>VLOOKUP(N36,Sheet1!$A$1:$B$93,2)</f>
        <v xml:space="preserve"> سبع</v>
      </c>
      <c r="N36" s="68">
        <f>VLOOKUP($U$8,'Nilai Tahriri'!$A$2:$AJ$41,26,FALSE)</f>
        <v>7</v>
      </c>
      <c r="O36" s="97" t="s">
        <v>137</v>
      </c>
      <c r="P36" s="189" t="s">
        <v>124</v>
      </c>
      <c r="Q36" s="190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6" t="s">
        <v>34</v>
      </c>
      <c r="L37" s="219"/>
      <c r="M37" s="90" t="str">
        <f>VLOOKUP(N37,Sheet1!$A$1:$B$93,2)</f>
        <v xml:space="preserve"> ثمان و نصف</v>
      </c>
      <c r="N37" s="68">
        <f>VLOOKUP($U$8,'Nilai Tahriri'!$A$2:$AJ$41,27,FALSE)</f>
        <v>8.5</v>
      </c>
      <c r="O37" s="97" t="s">
        <v>138</v>
      </c>
      <c r="P37" s="189" t="s">
        <v>125</v>
      </c>
      <c r="Q37" s="190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57">
        <f>VLOOKUP($U$8,Akhlak!$A$4:$J$43,6,FALSE)</f>
        <v>8</v>
      </c>
      <c r="C38" s="258"/>
      <c r="D38" s="258">
        <f>VLOOKUP($U$8,Akhlak!$A$4:$J$43,5,FALSE)</f>
        <v>8</v>
      </c>
      <c r="E38" s="258"/>
      <c r="F38" s="258"/>
      <c r="G38" s="258"/>
      <c r="H38" s="258"/>
      <c r="I38" s="258"/>
      <c r="J38" s="258"/>
      <c r="K38" s="37">
        <f>VLOOKUP($U$8,Akhlak!$A$4:$J$43,4,FALSE)</f>
        <v>8</v>
      </c>
      <c r="L38" s="219"/>
      <c r="M38" s="90" t="str">
        <f>VLOOKUP(N38,Sheet1!$A$1:$B$93,2)</f>
        <v xml:space="preserve"> </v>
      </c>
      <c r="N38" s="68"/>
      <c r="O38" s="97" t="s">
        <v>36</v>
      </c>
      <c r="P38" s="189" t="s">
        <v>126</v>
      </c>
      <c r="Q38" s="190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90" t="str">
        <f>VLOOKUP(N39,Sheet1!$A$1:$B$93,2)</f>
        <v xml:space="preserve"> </v>
      </c>
      <c r="N39" s="68"/>
      <c r="O39" s="97" t="s">
        <v>40</v>
      </c>
      <c r="P39" s="189" t="s">
        <v>127</v>
      </c>
      <c r="Q39" s="190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6" t="s">
        <v>39</v>
      </c>
      <c r="L40" s="219"/>
      <c r="M40" s="90" t="str">
        <f>VLOOKUP(N40,Sheet1!$A$1:$B$93,2)</f>
        <v xml:space="preserve"> </v>
      </c>
      <c r="N40" s="68"/>
      <c r="O40" s="97" t="s">
        <v>43</v>
      </c>
      <c r="P40" s="189" t="s">
        <v>128</v>
      </c>
      <c r="Q40" s="190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47">
        <f>VLOOKUP($U$8,Akhlak!$A$4:$J$43,9,FALSE)</f>
        <v>0</v>
      </c>
      <c r="C41" s="248"/>
      <c r="D41" s="248">
        <f>VLOOKUP($U$8,Akhlak!$A$4:$J$43,8,FALSE)</f>
        <v>0</v>
      </c>
      <c r="E41" s="248"/>
      <c r="F41" s="248"/>
      <c r="G41" s="248"/>
      <c r="H41" s="248"/>
      <c r="I41" s="248"/>
      <c r="J41" s="248"/>
      <c r="K41" s="37">
        <f>VLOOKUP($U$8,Akhlak!$A$4:$J$43,7,FALSE)</f>
        <v>0</v>
      </c>
      <c r="L41" s="219"/>
      <c r="M41" s="90" t="str">
        <f>VLOOKUP(N41,Sheet1!$A$1:$B$93,2)</f>
        <v xml:space="preserve"> ثمان و واحد</v>
      </c>
      <c r="N41" s="68">
        <f>VLOOKUP($U$8,'Nilai Tahriri'!$A$2:$AJ$41,31,FALSE)</f>
        <v>8.1</v>
      </c>
      <c r="O41" s="97" t="s">
        <v>44</v>
      </c>
      <c r="P41" s="189" t="s">
        <v>129</v>
      </c>
      <c r="Q41" s="190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45" t="s">
        <v>41</v>
      </c>
      <c r="C42" s="246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90" t="str">
        <f>VLOOKUP(N42,Sheet1!$A$1:$B$93,2)</f>
        <v xml:space="preserve"> سبع</v>
      </c>
      <c r="N42" s="68">
        <f>VLOOKUP($U$8,'Nilai Tahriri'!$A$2:$AJ$41,32,FALSE)</f>
        <v>7</v>
      </c>
      <c r="O42" s="97" t="s">
        <v>46</v>
      </c>
      <c r="P42" s="189" t="s">
        <v>130</v>
      </c>
      <c r="Q42" s="190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39">
        <f ca="1">VLOOKUP($U$8,'Nilai Syafahi'!$A$4:$Z$43,25,FALSE)</f>
        <v>9</v>
      </c>
      <c r="C43" s="240"/>
      <c r="D43" s="233">
        <f>VLOOKUP($U$8,'Nilai Syafahi'!$A$4:$Z$43,24,FALSE)</f>
        <v>5.5666666666666664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250.50000000000003</v>
      </c>
      <c r="L43" s="219"/>
      <c r="M43" s="90" t="str">
        <f>VLOOKUP(N43,Sheet1!$A$1:$B$93,2)</f>
        <v xml:space="preserve"> تسع</v>
      </c>
      <c r="N43" s="68">
        <f>VLOOKUP($U$8,'Nilai Tahriri'!$A$2:$AJ$41,33,FALSE)</f>
        <v>9</v>
      </c>
      <c r="O43" s="97" t="s">
        <v>47</v>
      </c>
      <c r="P43" s="189" t="s">
        <v>131</v>
      </c>
      <c r="Q43" s="190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90" t="str">
        <f>VLOOKUP(N44,Sheet1!$A$1:$B$93,2)</f>
        <v xml:space="preserve"> سبع و نصف</v>
      </c>
      <c r="N44" s="68">
        <f>VLOOKUP($U$8,'Nilai Tahriri'!$A$2:$AJ$41,34,FALSE)</f>
        <v>7.5</v>
      </c>
      <c r="O44" s="97" t="s">
        <v>135</v>
      </c>
      <c r="P44" s="189" t="s">
        <v>132</v>
      </c>
      <c r="Q44" s="190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64" t="s">
        <v>45</v>
      </c>
      <c r="C45" s="265"/>
      <c r="D45" s="265"/>
      <c r="E45" s="265"/>
      <c r="F45" s="265"/>
      <c r="G45" s="265"/>
      <c r="H45" s="265"/>
      <c r="I45" s="265"/>
      <c r="J45" s="265"/>
      <c r="K45" s="265"/>
      <c r="L45" s="219"/>
      <c r="M45" s="90" t="str">
        <f>VLOOKUP(N45,Sheet1!$A$1:$B$93,2)</f>
        <v xml:space="preserve"> سبع و ثمان</v>
      </c>
      <c r="N45" s="68">
        <f>VLOOKUP($U$8,'Nilai Tahriri'!$A$2:$AJ$41,35,FALSE)</f>
        <v>7.8</v>
      </c>
      <c r="O45" s="97" t="s">
        <v>92</v>
      </c>
      <c r="P45" s="189" t="s">
        <v>133</v>
      </c>
      <c r="Q45" s="190"/>
      <c r="R45" s="62">
        <v>37</v>
      </c>
      <c r="S45" s="20"/>
      <c r="T45" s="20"/>
      <c r="U45" s="20"/>
      <c r="V45" s="243"/>
      <c r="W45" s="243"/>
      <c r="X45" s="243"/>
      <c r="Y45" s="20"/>
      <c r="Z45" s="20"/>
      <c r="AA45" s="20"/>
      <c r="AB45" s="20"/>
    </row>
    <row r="46" spans="2:28" ht="15.65" customHeight="1" x14ac:dyDescent="0.35">
      <c r="B46" s="259" t="str">
        <f>VLOOKUP($U$8,Akhlak!$A$4:$J$43,10,FALSE)</f>
        <v/>
      </c>
      <c r="C46" s="260"/>
      <c r="D46" s="260"/>
      <c r="E46" s="260"/>
      <c r="F46" s="260"/>
      <c r="G46" s="260"/>
      <c r="H46" s="260"/>
      <c r="I46" s="260"/>
      <c r="J46" s="260"/>
      <c r="K46" s="261"/>
      <c r="L46" s="219"/>
      <c r="M46" s="90" t="str">
        <f>VLOOKUP(N46,Sheet1!$A$1:$B$93,2)</f>
        <v xml:space="preserve"> </v>
      </c>
      <c r="N46" s="68"/>
      <c r="O46" s="97" t="s">
        <v>48</v>
      </c>
      <c r="P46" s="189" t="s">
        <v>134</v>
      </c>
      <c r="Q46" s="190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62"/>
      <c r="C47" s="200"/>
      <c r="D47" s="200"/>
      <c r="E47" s="200"/>
      <c r="F47" s="200"/>
      <c r="G47" s="200"/>
      <c r="H47" s="200"/>
      <c r="I47" s="200"/>
      <c r="J47" s="200"/>
      <c r="K47" s="263"/>
      <c r="L47" s="219"/>
      <c r="M47" s="91" t="str">
        <f>VLOOKUP(N47,Sheet1!$A$1:$B$93,2)</f>
        <v xml:space="preserve"> </v>
      </c>
      <c r="N47" s="69"/>
      <c r="O47" s="97" t="s">
        <v>136</v>
      </c>
      <c r="P47" s="189" t="s">
        <v>53</v>
      </c>
      <c r="Q47" s="190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77" t="s">
        <v>280</v>
      </c>
      <c r="C48" s="278"/>
      <c r="D48" s="278"/>
      <c r="E48" s="278"/>
      <c r="F48" s="278"/>
      <c r="G48" s="278"/>
      <c r="H48" s="278"/>
      <c r="I48" s="278"/>
      <c r="J48" s="278"/>
      <c r="K48" s="78" t="s">
        <v>184</v>
      </c>
      <c r="L48" s="221"/>
      <c r="M48" s="279">
        <f>VLOOKUP($U$8,'Nilai Tahriri'!$A$2:$AJ$41,36,FALSE)</f>
        <v>162.60000000000002</v>
      </c>
      <c r="N48" s="280" t="e">
        <f>VLOOKUP($U$8,'Nilai Tahriri'!$A$2:$AJ$41,41,FALSE)</f>
        <v>#REF!</v>
      </c>
      <c r="O48" s="280" t="e">
        <f>VLOOKUP($U$8,'Nilai Tahriri'!$A$2:$AJ$41,41,FALSE)</f>
        <v>#REF!</v>
      </c>
      <c r="P48" s="214" t="s">
        <v>27</v>
      </c>
      <c r="Q48" s="214"/>
      <c r="R48" s="215"/>
      <c r="S48" s="20"/>
      <c r="T48" s="20"/>
      <c r="U48" s="20"/>
      <c r="V48" s="20"/>
      <c r="W48" s="20"/>
      <c r="X48" s="20"/>
      <c r="Y48" s="20"/>
      <c r="Z48" s="244"/>
      <c r="AA48" s="244"/>
      <c r="AB48" s="244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6"/>
      <c r="D50" s="216"/>
      <c r="E50" s="216"/>
      <c r="F50" s="216"/>
      <c r="G50" s="216"/>
      <c r="H50" s="216"/>
      <c r="I50" s="216"/>
      <c r="J50" s="216"/>
      <c r="K50" s="216"/>
      <c r="L50" s="45"/>
      <c r="M50" s="213" t="str">
        <f>Biodata!$C$13</f>
        <v>١٩ من جمادى الآخر سنة ١٤٤٦ ه</v>
      </c>
      <c r="N50" s="213"/>
      <c r="O50" s="213"/>
      <c r="P50" s="213"/>
      <c r="Q50" s="217" t="s">
        <v>49</v>
      </c>
      <c r="R50" s="217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16"/>
      <c r="D51" s="216"/>
      <c r="E51" s="216"/>
      <c r="F51" s="216"/>
      <c r="G51" s="216"/>
      <c r="H51" s="216"/>
      <c r="I51" s="216"/>
      <c r="J51" s="216"/>
      <c r="K51" s="216"/>
      <c r="L51" s="45"/>
      <c r="M51" s="213" t="str">
        <f>Biodata!$C$14</f>
        <v>٢٠ من ديسمبر سنة ٢٠٢٤ م</v>
      </c>
      <c r="N51" s="213"/>
      <c r="O51" s="213"/>
      <c r="P51" s="213"/>
      <c r="Q51" s="217"/>
      <c r="R51" s="217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73" t="s">
        <v>51</v>
      </c>
      <c r="C53" s="273"/>
      <c r="D53" s="273"/>
      <c r="E53" s="273"/>
      <c r="F53" s="273"/>
      <c r="G53" s="273"/>
      <c r="H53" s="273"/>
      <c r="I53" s="273"/>
      <c r="J53" s="273"/>
      <c r="K53" s="273"/>
      <c r="L53" s="45"/>
      <c r="M53" s="44"/>
      <c r="N53" s="49"/>
      <c r="O53" s="272" t="s">
        <v>52</v>
      </c>
      <c r="P53" s="272"/>
      <c r="Q53" s="27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81" t="s">
        <v>161</v>
      </c>
      <c r="L54" s="181"/>
      <c r="M54" s="181"/>
      <c r="N54" s="181"/>
      <c r="O54" s="18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274" t="str">
        <f>Biodata!$C$19</f>
        <v xml:space="preserve"> الا ستاذ احمد بيضاري</v>
      </c>
      <c r="P56" s="274"/>
      <c r="Q56" s="27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9" t="str">
        <f>Biodata!$C$16</f>
        <v>كياهى الحاج شهاب المعي</v>
      </c>
      <c r="L58" s="269"/>
      <c r="M58" s="269"/>
      <c r="N58" s="269"/>
      <c r="O58" s="269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rkgH+nvWWu2e7MdpckvmTNmfIbtoIN/7L26ZCdTlAT2URjCy2GZKu6KWF/XRYeeY5E2itFN04OKGuaXSIWKgCw==" saltValue="0F0m8LIwPK78F40tZ8+YNA==" spinCount="100000" sheet="1" selectLockedCell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="60" zoomScaleNormal="100" zoomScalePageLayoutView="60" workbookViewId="0">
      <selection activeCell="B6" sqref="B6:B8"/>
    </sheetView>
  </sheetViews>
  <sheetFormatPr defaultRowHeight="14.5" x14ac:dyDescent="0.35"/>
  <cols>
    <col min="1" max="1" width="5.26953125" customWidth="1"/>
    <col min="2" max="2" width="30.54296875" style="10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6" t="s">
        <v>173</v>
      </c>
      <c r="B1" s="286"/>
      <c r="C1" s="286"/>
      <c r="D1" s="286"/>
      <c r="E1" s="286"/>
      <c r="F1" s="286"/>
      <c r="G1" s="286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87" t="str">
        <f>Biodata!C4</f>
        <v>الخامس ج للبنين</v>
      </c>
      <c r="B3" s="287"/>
      <c r="C3" s="287"/>
      <c r="D3" s="287"/>
      <c r="E3" s="287"/>
      <c r="F3" s="287"/>
      <c r="G3" s="287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Siswa'!B14</f>
        <v>MUHAMAD ANDREAN</v>
      </c>
      <c r="C6" s="6" t="str">
        <f>'Data Siswa'!C14</f>
        <v>0472</v>
      </c>
      <c r="D6" s="7">
        <f>'Nilai Syafahi'!W16</f>
        <v>302.89999999999998</v>
      </c>
      <c r="E6" s="117">
        <f>'Nilai Syafahi'!X16</f>
        <v>6.7311111111111108</v>
      </c>
      <c r="F6" s="118">
        <f ca="1">'Nilai Syafahi'!Y16</f>
        <v>1</v>
      </c>
      <c r="G6" s="7" t="str">
        <f>'Nilai Syafahi'!Z16</f>
        <v>-</v>
      </c>
    </row>
    <row r="7" spans="1:7" ht="18" customHeight="1" x14ac:dyDescent="0.35">
      <c r="A7" s="6">
        <v>2</v>
      </c>
      <c r="B7" s="109" t="str">
        <f>'Data Siswa'!B16</f>
        <v>MUHAMAD HILMAN</v>
      </c>
      <c r="C7" s="6" t="str">
        <f>'Data Siswa'!C16</f>
        <v>0474</v>
      </c>
      <c r="D7" s="7">
        <f>'Nilai Syafahi'!W18</f>
        <v>277.89999999999998</v>
      </c>
      <c r="E7" s="117">
        <f>'Nilai Syafahi'!X18</f>
        <v>6.1755555555555555</v>
      </c>
      <c r="F7" s="118">
        <f ca="1">'Nilai Syafahi'!Y18</f>
        <v>2</v>
      </c>
      <c r="G7" s="7" t="str">
        <f>'Nilai Syafahi'!Z18</f>
        <v>-</v>
      </c>
    </row>
    <row r="8" spans="1:7" ht="18" customHeight="1" x14ac:dyDescent="0.35">
      <c r="A8" s="6">
        <v>3</v>
      </c>
      <c r="B8" s="109" t="str">
        <f>'Data Siswa'!B17</f>
        <v>MUHAMAD RIZKI FADILAH</v>
      </c>
      <c r="C8" s="6" t="str">
        <f>'Data Siswa'!C17</f>
        <v>0475</v>
      </c>
      <c r="D8" s="7">
        <f>'Nilai Syafahi'!W19</f>
        <v>266.09999999999997</v>
      </c>
      <c r="E8" s="117">
        <f>'Nilai Syafahi'!X19</f>
        <v>5.9133333333333322</v>
      </c>
      <c r="F8" s="118">
        <f ca="1">'Nilai Syafahi'!Y19</f>
        <v>3</v>
      </c>
      <c r="G8" s="7" t="str">
        <f>'Nilai Syafahi'!Z19</f>
        <v>-</v>
      </c>
    </row>
    <row r="9" spans="1:7" ht="18" customHeight="1" x14ac:dyDescent="0.35">
      <c r="A9" s="6">
        <v>4</v>
      </c>
      <c r="B9" s="109" t="str">
        <f>'Data Siswa'!B7</f>
        <v>FAISAL RAMADHAN</v>
      </c>
      <c r="C9" s="6" t="str">
        <f>'Data Siswa'!C7</f>
        <v>0465</v>
      </c>
      <c r="D9" s="7">
        <f>'Nilai Syafahi'!W9</f>
        <v>264.39999999999998</v>
      </c>
      <c r="E9" s="117">
        <f>'Nilai Syafahi'!X9</f>
        <v>5.8755555555555548</v>
      </c>
      <c r="F9" s="118">
        <f ca="1">'Nilai Syafahi'!Y9</f>
        <v>4</v>
      </c>
      <c r="G9" s="7" t="str">
        <f>'Nilai Syafahi'!Z9</f>
        <v>-</v>
      </c>
    </row>
    <row r="10" spans="1:7" ht="18" customHeight="1" x14ac:dyDescent="0.35">
      <c r="A10" s="6">
        <v>5</v>
      </c>
      <c r="B10" s="109" t="str">
        <f>'Data Siswa'!B8</f>
        <v>FIKI KURNIAWAN</v>
      </c>
      <c r="C10" s="6" t="str">
        <f>'Data Siswa'!C8</f>
        <v>0466</v>
      </c>
      <c r="D10" s="7">
        <f>'Nilai Syafahi'!W10</f>
        <v>261.70000000000005</v>
      </c>
      <c r="E10" s="117">
        <f>'Nilai Syafahi'!X10</f>
        <v>5.8155555555555569</v>
      </c>
      <c r="F10" s="118">
        <f ca="1">'Nilai Syafahi'!Y10</f>
        <v>5</v>
      </c>
      <c r="G10" s="7" t="str">
        <f>'Nilai Syafahi'!Z10</f>
        <v>-</v>
      </c>
    </row>
    <row r="11" spans="1:7" ht="18" customHeight="1" x14ac:dyDescent="0.35">
      <c r="A11" s="6">
        <v>6</v>
      </c>
      <c r="B11" s="109" t="str">
        <f>'Data Siswa'!B9</f>
        <v>IKHBAL FATUROKHMAN</v>
      </c>
      <c r="C11" s="6" t="str">
        <f>'Data Siswa'!C9</f>
        <v>0467</v>
      </c>
      <c r="D11" s="7">
        <f>'Nilai Syafahi'!W11</f>
        <v>261.10000000000002</v>
      </c>
      <c r="E11" s="117">
        <f>'Nilai Syafahi'!X11</f>
        <v>5.8022222222222224</v>
      </c>
      <c r="F11" s="118">
        <f ca="1">'Nilai Syafahi'!Y11</f>
        <v>6</v>
      </c>
      <c r="G11" s="7" t="str">
        <f>'Nilai Syafahi'!Z11</f>
        <v>-</v>
      </c>
    </row>
    <row r="12" spans="1:7" ht="18" customHeight="1" x14ac:dyDescent="0.35">
      <c r="A12" s="6">
        <v>7</v>
      </c>
      <c r="B12" s="109" t="str">
        <f>'Data Siswa'!B11</f>
        <v>LUTHFI RAMADHAN</v>
      </c>
      <c r="C12" s="6" t="str">
        <f>'Data Siswa'!C11</f>
        <v>0469</v>
      </c>
      <c r="D12" s="7">
        <f>'Nilai Syafahi'!W13</f>
        <v>253.5</v>
      </c>
      <c r="E12" s="117">
        <f>'Nilai Syafahi'!X13</f>
        <v>5.6333333333333337</v>
      </c>
      <c r="F12" s="118">
        <f ca="1">'Nilai Syafahi'!Y13</f>
        <v>7</v>
      </c>
      <c r="G12" s="7" t="str">
        <f>'Nilai Syafahi'!Z13</f>
        <v>-</v>
      </c>
    </row>
    <row r="13" spans="1:7" ht="18" customHeight="1" x14ac:dyDescent="0.35">
      <c r="A13" s="6">
        <v>8</v>
      </c>
      <c r="B13" s="109" t="str">
        <f>'Data Siswa'!B20</f>
        <v>MUHAMMAD AZIZ ABDIYANTO</v>
      </c>
      <c r="C13" s="6" t="str">
        <f>'Data Siswa'!C20</f>
        <v>0478</v>
      </c>
      <c r="D13" s="7">
        <f>'Nilai Syafahi'!W22</f>
        <v>250.8</v>
      </c>
      <c r="E13" s="117">
        <f>'Nilai Syafahi'!X22</f>
        <v>5.5733333333333341</v>
      </c>
      <c r="F13" s="118">
        <f ca="1">'Nilai Syafahi'!Y22</f>
        <v>8</v>
      </c>
      <c r="G13" s="7" t="str">
        <f>'Nilai Syafahi'!Z22</f>
        <v>-</v>
      </c>
    </row>
    <row r="14" spans="1:7" ht="18" customHeight="1" x14ac:dyDescent="0.35">
      <c r="A14" s="6">
        <v>9</v>
      </c>
      <c r="B14" s="109" t="str">
        <f>'Data Siswa'!B24</f>
        <v>ROHIN ARPINAS</v>
      </c>
      <c r="C14" s="6" t="str">
        <f>'Data Siswa'!C24</f>
        <v>0482</v>
      </c>
      <c r="D14" s="7">
        <f>'Nilai Syafahi'!W26</f>
        <v>250.50000000000003</v>
      </c>
      <c r="E14" s="117">
        <f>'Nilai Syafahi'!X26</f>
        <v>5.5666666666666664</v>
      </c>
      <c r="F14" s="118">
        <f ca="1">'Nilai Syafahi'!Y26</f>
        <v>9</v>
      </c>
      <c r="G14" s="7" t="str">
        <f>'Nilai Syafahi'!Z26</f>
        <v>-</v>
      </c>
    </row>
    <row r="15" spans="1:7" ht="18" customHeight="1" x14ac:dyDescent="0.35">
      <c r="A15" s="6">
        <v>10</v>
      </c>
      <c r="B15" s="109" t="str">
        <f>'Data Siswa'!B19</f>
        <v>MUHAMAD ZIDAN</v>
      </c>
      <c r="C15" s="6" t="str">
        <f>'Data Siswa'!C19</f>
        <v>0477</v>
      </c>
      <c r="D15" s="7">
        <f>'Nilai Syafahi'!W21</f>
        <v>248.80000000000004</v>
      </c>
      <c r="E15" s="117">
        <f>'Nilai Syafahi'!X21</f>
        <v>5.5288888888888899</v>
      </c>
      <c r="F15" s="118">
        <f ca="1">'Nilai Syafahi'!Y21</f>
        <v>10</v>
      </c>
      <c r="G15" s="7" t="str">
        <f>'Nilai Syafahi'!Z21</f>
        <v>-</v>
      </c>
    </row>
    <row r="16" spans="1:7" ht="18" customHeight="1" x14ac:dyDescent="0.35">
      <c r="A16" s="6">
        <v>11</v>
      </c>
      <c r="B16" s="109" t="str">
        <f>'Data Siswa'!B12</f>
        <v>MAULIDAN FAHRI BASTAMAN</v>
      </c>
      <c r="C16" s="6" t="str">
        <f>'Data Siswa'!C12</f>
        <v>0470</v>
      </c>
      <c r="D16" s="7">
        <f>'Nilai Syafahi'!W14</f>
        <v>247.30000000000004</v>
      </c>
      <c r="E16" s="117">
        <f>'Nilai Syafahi'!X14</f>
        <v>5.4955555555555566</v>
      </c>
      <c r="F16" s="118">
        <f ca="1">'Nilai Syafahi'!Y14</f>
        <v>11</v>
      </c>
      <c r="G16" s="7" t="str">
        <f>'Nilai Syafahi'!Z14</f>
        <v>-</v>
      </c>
    </row>
    <row r="17" spans="1:7" ht="18" customHeight="1" x14ac:dyDescent="0.35">
      <c r="A17" s="6">
        <v>12</v>
      </c>
      <c r="B17" s="109" t="str">
        <f>'Data Siswa'!B18</f>
        <v>MUHAMAD YUSUF IRFAN</v>
      </c>
      <c r="C17" s="6" t="str">
        <f>'Data Siswa'!C18</f>
        <v>0476</v>
      </c>
      <c r="D17" s="7">
        <f>'Nilai Syafahi'!W20</f>
        <v>246.8</v>
      </c>
      <c r="E17" s="117">
        <f>'Nilai Syafahi'!X20</f>
        <v>5.4844444444444456</v>
      </c>
      <c r="F17" s="118">
        <f ca="1">'Nilai Syafahi'!Y20</f>
        <v>12</v>
      </c>
      <c r="G17" s="7" t="str">
        <f>'Nilai Syafahi'!Z20</f>
        <v>-</v>
      </c>
    </row>
    <row r="18" spans="1:7" ht="18" customHeight="1" x14ac:dyDescent="0.35">
      <c r="A18" s="6">
        <v>13</v>
      </c>
      <c r="B18" s="109" t="str">
        <f>'Data Siswa'!B2</f>
        <v>AGUS SAEPULLOH</v>
      </c>
      <c r="C18" s="6" t="str">
        <f>'Data Siswa'!C2</f>
        <v>0460</v>
      </c>
      <c r="D18" s="7">
        <f>'Nilai Syafahi'!W4</f>
        <v>246.1</v>
      </c>
      <c r="E18" s="117">
        <f>'Nilai Syafahi'!X4</f>
        <v>5.4688888888888885</v>
      </c>
      <c r="F18" s="118">
        <f ca="1">'Nilai Syafahi'!Y4</f>
        <v>13</v>
      </c>
      <c r="G18" s="7" t="str">
        <f>'Nilai Syafahi'!Z4</f>
        <v>-</v>
      </c>
    </row>
    <row r="19" spans="1:7" ht="18" customHeight="1" x14ac:dyDescent="0.35">
      <c r="A19" s="6">
        <v>14</v>
      </c>
      <c r="B19" s="109" t="str">
        <f>'Data Siswa'!B15</f>
        <v>MUHAMAD FEBRIANSYAH</v>
      </c>
      <c r="C19" s="6" t="str">
        <f>'Data Siswa'!C15</f>
        <v>0473</v>
      </c>
      <c r="D19" s="7">
        <f>'Nilai Syafahi'!W17</f>
        <v>244.3</v>
      </c>
      <c r="E19" s="117">
        <f>'Nilai Syafahi'!X17</f>
        <v>5.4288888888888902</v>
      </c>
      <c r="F19" s="118">
        <f ca="1">'Nilai Syafahi'!Y17</f>
        <v>14</v>
      </c>
      <c r="G19" s="7" t="str">
        <f>'Nilai Syafahi'!Z17</f>
        <v>-</v>
      </c>
    </row>
    <row r="20" spans="1:7" ht="18" customHeight="1" x14ac:dyDescent="0.35">
      <c r="A20" s="6">
        <v>15</v>
      </c>
      <c r="B20" s="109" t="str">
        <f>'Data Siswa'!B21</f>
        <v>MUHAMMAD TANZILUL MUNZIAT</v>
      </c>
      <c r="C20" s="6" t="str">
        <f>'Data Siswa'!C21</f>
        <v>0479</v>
      </c>
      <c r="D20" s="7">
        <f>'Nilai Syafahi'!W23</f>
        <v>243.7</v>
      </c>
      <c r="E20" s="117">
        <f>'Nilai Syafahi'!X23</f>
        <v>5.4155555555555557</v>
      </c>
      <c r="F20" s="118">
        <f ca="1">'Nilai Syafahi'!Y23</f>
        <v>15</v>
      </c>
      <c r="G20" s="7" t="str">
        <f>'Nilai Syafahi'!Z23</f>
        <v>-</v>
      </c>
    </row>
    <row r="21" spans="1:7" ht="18" customHeight="1" x14ac:dyDescent="0.35">
      <c r="A21" s="6">
        <v>16</v>
      </c>
      <c r="B21" s="109" t="str">
        <f>'Data Siswa'!B10</f>
        <v>ILHAM NUR WAHYU</v>
      </c>
      <c r="C21" s="6" t="str">
        <f>'Data Siswa'!C10</f>
        <v>0468</v>
      </c>
      <c r="D21" s="7">
        <f>'Nilai Syafahi'!W12</f>
        <v>242.99999999999997</v>
      </c>
      <c r="E21" s="117">
        <f>'Nilai Syafahi'!X12</f>
        <v>5.3999999999999995</v>
      </c>
      <c r="F21" s="118">
        <f ca="1">'Nilai Syafahi'!Y12</f>
        <v>16</v>
      </c>
      <c r="G21" s="7" t="str">
        <f>'Nilai Syafahi'!Z12</f>
        <v>-</v>
      </c>
    </row>
    <row r="22" spans="1:7" ht="18" customHeight="1" x14ac:dyDescent="0.35">
      <c r="A22" s="6">
        <v>17</v>
      </c>
      <c r="B22" s="109" t="str">
        <f>'Data Siswa'!B22</f>
        <v>MUHAMMAD WILDANUL HUDA</v>
      </c>
      <c r="C22" s="6" t="str">
        <f>'Data Siswa'!C22</f>
        <v>0480</v>
      </c>
      <c r="D22" s="7">
        <f>'Nilai Syafahi'!W24</f>
        <v>241.90000000000003</v>
      </c>
      <c r="E22" s="117">
        <f>'Nilai Syafahi'!X24</f>
        <v>5.3755555555555565</v>
      </c>
      <c r="F22" s="118">
        <f ca="1">'Nilai Syafahi'!Y24</f>
        <v>17</v>
      </c>
      <c r="G22" s="7" t="str">
        <f>'Nilai Syafahi'!Z24</f>
        <v>-</v>
      </c>
    </row>
    <row r="23" spans="1:7" ht="18" customHeight="1" x14ac:dyDescent="0.35">
      <c r="A23" s="6">
        <v>18</v>
      </c>
      <c r="B23" s="109" t="str">
        <f>'Data Siswa'!B5</f>
        <v>DANIL RAMADHAN</v>
      </c>
      <c r="C23" s="6" t="str">
        <f>'Data Siswa'!C5</f>
        <v>0463</v>
      </c>
      <c r="D23" s="7">
        <f>'Nilai Syafahi'!W7</f>
        <v>241.1</v>
      </c>
      <c r="E23" s="117">
        <f>'Nilai Syafahi'!X7</f>
        <v>5.3577777777777778</v>
      </c>
      <c r="F23" s="118">
        <f ca="1">'Nilai Syafahi'!Y7</f>
        <v>18</v>
      </c>
      <c r="G23" s="7" t="str">
        <f>'Nilai Syafahi'!Z7</f>
        <v>-</v>
      </c>
    </row>
    <row r="24" spans="1:7" ht="18" customHeight="1" x14ac:dyDescent="0.35">
      <c r="A24" s="6">
        <v>19</v>
      </c>
      <c r="B24" s="109" t="str">
        <f>'Data Siswa'!B4</f>
        <v>ANAN WIDIANSYAH</v>
      </c>
      <c r="C24" s="6" t="str">
        <f>'Data Siswa'!C4</f>
        <v>0462</v>
      </c>
      <c r="D24" s="7">
        <f>'Nilai Syafahi'!W6</f>
        <v>240.5</v>
      </c>
      <c r="E24" s="117">
        <f>'Nilai Syafahi'!X6</f>
        <v>5.3444444444444441</v>
      </c>
      <c r="F24" s="118">
        <f ca="1">'Nilai Syafahi'!Y6</f>
        <v>19</v>
      </c>
      <c r="G24" s="7" t="str">
        <f>'Nilai Syafahi'!Z6</f>
        <v>-</v>
      </c>
    </row>
    <row r="25" spans="1:7" ht="18" customHeight="1" x14ac:dyDescent="0.35">
      <c r="A25" s="6">
        <v>20</v>
      </c>
      <c r="B25" s="109" t="str">
        <f>'Data Siswa'!B3</f>
        <v>ALIFXANDER NESTA SAFI'I</v>
      </c>
      <c r="C25" s="6" t="str">
        <f>'Data Siswa'!C3</f>
        <v>0461</v>
      </c>
      <c r="D25" s="7">
        <f>'Nilai Syafahi'!W5</f>
        <v>240</v>
      </c>
      <c r="E25" s="117">
        <f>'Nilai Syafahi'!X5</f>
        <v>5.333333333333333</v>
      </c>
      <c r="F25" s="118">
        <f ca="1">'Nilai Syafahi'!Y5</f>
        <v>20</v>
      </c>
      <c r="G25" s="7" t="str">
        <f>'Nilai Syafahi'!Z5</f>
        <v>-</v>
      </c>
    </row>
    <row r="26" spans="1:7" ht="18" customHeight="1" x14ac:dyDescent="0.35">
      <c r="A26" s="6">
        <v>21</v>
      </c>
      <c r="B26" s="109" t="str">
        <f>'Data Siswa'!B6</f>
        <v>FAHRI NUR AZIZ</v>
      </c>
      <c r="C26" s="6" t="str">
        <f>'Data Siswa'!C6</f>
        <v>0464</v>
      </c>
      <c r="D26" s="7">
        <f>'Nilai Syafahi'!W8</f>
        <v>239.8</v>
      </c>
      <c r="E26" s="117">
        <f>'Nilai Syafahi'!X8</f>
        <v>5.3288888888888888</v>
      </c>
      <c r="F26" s="118">
        <f ca="1">'Nilai Syafahi'!Y8</f>
        <v>21</v>
      </c>
      <c r="G26" s="7" t="str">
        <f>'Nilai Syafahi'!Z8</f>
        <v>-</v>
      </c>
    </row>
    <row r="27" spans="1:7" ht="18" customHeight="1" x14ac:dyDescent="0.35">
      <c r="A27" s="6">
        <v>22</v>
      </c>
      <c r="B27" s="109" t="str">
        <f>'Data Siswa'!B23</f>
        <v>NAUFAL RIZKIA AL THAF</v>
      </c>
      <c r="C27" s="6" t="str">
        <f>'Data Siswa'!C23</f>
        <v>0481</v>
      </c>
      <c r="D27" s="7">
        <f>'Nilai Syafahi'!W25</f>
        <v>239.29999999999995</v>
      </c>
      <c r="E27" s="117">
        <f>'Nilai Syafahi'!X25</f>
        <v>5.3177777777777777</v>
      </c>
      <c r="F27" s="118">
        <f ca="1">'Nilai Syafahi'!Y25</f>
        <v>22</v>
      </c>
      <c r="G27" s="7" t="str">
        <f>'Nilai Syafahi'!Z25</f>
        <v>-</v>
      </c>
    </row>
    <row r="28" spans="1:7" ht="18" customHeight="1" x14ac:dyDescent="0.35">
      <c r="A28" s="6">
        <v>23</v>
      </c>
      <c r="B28" s="109" t="str">
        <f>'Data Siswa'!B13</f>
        <v>MOCHAMMAD FIKRI</v>
      </c>
      <c r="C28" s="6" t="str">
        <f>'Data Siswa'!C13</f>
        <v>0471</v>
      </c>
      <c r="D28" s="7">
        <f>'Nilai Syafahi'!W15</f>
        <v>238.09999999999997</v>
      </c>
      <c r="E28" s="117">
        <f>'Nilai Syafahi'!X15</f>
        <v>5.2911111111111104</v>
      </c>
      <c r="F28" s="118">
        <f ca="1">'Nilai Syafahi'!Y15</f>
        <v>23</v>
      </c>
      <c r="G28" s="7" t="str">
        <f>'Nilai Syafahi'!Z15</f>
        <v>-</v>
      </c>
    </row>
    <row r="29" spans="1:7" ht="18" customHeight="1" x14ac:dyDescent="0.35">
      <c r="A29" s="6">
        <v>24</v>
      </c>
      <c r="B29" s="109">
        <f>'Data Siswa'!B25</f>
        <v>0</v>
      </c>
      <c r="C29" s="6">
        <f>'Data Siswa'!C25</f>
        <v>0</v>
      </c>
      <c r="D29" s="7">
        <f>'Nilai Syafahi'!W27</f>
        <v>0</v>
      </c>
      <c r="E29" s="117" t="e">
        <f>'Nilai Syafahi'!X27</f>
        <v>#DIV/0!</v>
      </c>
      <c r="F29" s="118">
        <f ca="1">'Nilai Syafahi'!Y27</f>
        <v>24</v>
      </c>
      <c r="G29" s="7" t="str">
        <f>'Nilai Syafahi'!Z27</f>
        <v>-</v>
      </c>
    </row>
    <row r="30" spans="1:7" ht="18" customHeight="1" x14ac:dyDescent="0.35">
      <c r="A30" s="6">
        <v>25</v>
      </c>
      <c r="B30" s="109">
        <f>'Data Siswa'!B26</f>
        <v>0</v>
      </c>
      <c r="C30" s="6">
        <f>'Data Siswa'!C26</f>
        <v>0</v>
      </c>
      <c r="D30" s="7">
        <f>'Nilai Syafahi'!W28</f>
        <v>0</v>
      </c>
      <c r="E30" s="117" t="e">
        <f>'Nilai Syafahi'!X28</f>
        <v>#DIV/0!</v>
      </c>
      <c r="F30" s="118">
        <f ca="1">'Nilai Syafahi'!Y28</f>
        <v>24</v>
      </c>
      <c r="G30" s="7" t="str">
        <f>'Nilai Syafahi'!Z28</f>
        <v>-</v>
      </c>
    </row>
    <row r="31" spans="1:7" ht="18" customHeight="1" x14ac:dyDescent="0.35">
      <c r="A31" s="6">
        <v>26</v>
      </c>
      <c r="B31" s="109">
        <f>'Data Siswa'!B27</f>
        <v>0</v>
      </c>
      <c r="C31" s="6">
        <f>'Data Siswa'!C27</f>
        <v>0</v>
      </c>
      <c r="D31" s="7">
        <f>'Nilai Syafahi'!W29</f>
        <v>0</v>
      </c>
      <c r="E31" s="117" t="e">
        <f>'Nilai Syafahi'!X29</f>
        <v>#DIV/0!</v>
      </c>
      <c r="F31" s="118">
        <f ca="1">'Nilai Syafahi'!Y29</f>
        <v>24</v>
      </c>
      <c r="G31" s="7" t="str">
        <f>'Nilai Syafahi'!Z29</f>
        <v>-</v>
      </c>
    </row>
    <row r="32" spans="1:7" ht="18" customHeight="1" x14ac:dyDescent="0.35">
      <c r="A32" s="6">
        <v>27</v>
      </c>
      <c r="B32" s="109">
        <f>'Data Siswa'!B28</f>
        <v>0</v>
      </c>
      <c r="C32" s="6">
        <f>'Data Siswa'!C28</f>
        <v>0</v>
      </c>
      <c r="D32" s="7">
        <f>'Nilai Syafahi'!W30</f>
        <v>0</v>
      </c>
      <c r="E32" s="117" t="e">
        <f>'Nilai Syafahi'!X30</f>
        <v>#DIV/0!</v>
      </c>
      <c r="F32" s="118">
        <f ca="1">'Nilai Syafahi'!Y30</f>
        <v>24</v>
      </c>
      <c r="G32" s="7" t="str">
        <f>'Nilai Syafahi'!Z30</f>
        <v>-</v>
      </c>
    </row>
    <row r="33" spans="1:7" ht="18" customHeight="1" x14ac:dyDescent="0.35">
      <c r="A33" s="6">
        <v>28</v>
      </c>
      <c r="B33" s="109">
        <f>'Data Siswa'!B29</f>
        <v>0</v>
      </c>
      <c r="C33" s="6">
        <f>'Data Siswa'!C29</f>
        <v>0</v>
      </c>
      <c r="D33" s="7">
        <f>'Nilai Syafahi'!W31</f>
        <v>0</v>
      </c>
      <c r="E33" s="117" t="e">
        <f>'Nilai Syafahi'!X31</f>
        <v>#DIV/0!</v>
      </c>
      <c r="F33" s="118">
        <f ca="1">'Nilai Syafahi'!Y31</f>
        <v>24</v>
      </c>
      <c r="G33" s="7" t="str">
        <f>'Nilai Syafahi'!Z31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117" t="e">
        <f>'Nilai Syafahi'!X32</f>
        <v>#DIV/0!</v>
      </c>
      <c r="F34" s="118">
        <f ca="1">'Nilai Syafahi'!Y32</f>
        <v>24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117" t="e">
        <f>'Nilai Syafahi'!X33</f>
        <v>#DIV/0!</v>
      </c>
      <c r="F35" s="118">
        <f ca="1">'Nilai Syafahi'!Y33</f>
        <v>24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117" t="e">
        <f>'Nilai Syafahi'!X34</f>
        <v>#DIV/0!</v>
      </c>
      <c r="F36" s="118">
        <f ca="1">'Nilai Syafahi'!Y34</f>
        <v>24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117" t="e">
        <f>'Nilai Syafahi'!X35</f>
        <v>#DIV/0!</v>
      </c>
      <c r="F37" s="118">
        <f ca="1">'Nilai Syafahi'!Y35</f>
        <v>24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117" t="e">
        <f>'Nilai Syafahi'!X36</f>
        <v>#DIV/0!</v>
      </c>
      <c r="F38" s="118">
        <f ca="1">'Nilai Syafahi'!Y36</f>
        <v>24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117" t="e">
        <f>'Nilai Syafahi'!X37</f>
        <v>#DIV/0!</v>
      </c>
      <c r="F39" s="118">
        <f ca="1">'Nilai Syafahi'!Y37</f>
        <v>24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117" t="e">
        <f>'Nilai Syafahi'!X38</f>
        <v>#DIV/0!</v>
      </c>
      <c r="F40" s="118">
        <f ca="1">'Nilai Syafahi'!Y38</f>
        <v>24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117" t="e">
        <f>'Nilai Syafahi'!X39</f>
        <v>#DIV/0!</v>
      </c>
      <c r="F41" s="118">
        <f ca="1">'Nilai Syafahi'!Y39</f>
        <v>24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117" t="e">
        <f>'Nilai Syafahi'!X40</f>
        <v>#DIV/0!</v>
      </c>
      <c r="F42" s="118">
        <f ca="1">'Nilai Syafahi'!Y40</f>
        <v>24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117" t="e">
        <f>'Nilai Syafahi'!X41</f>
        <v>#DIV/0!</v>
      </c>
      <c r="F43" s="118">
        <f ca="1">'Nilai Syafahi'!Y41</f>
        <v>24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117" t="e">
        <f>'Nilai Syafahi'!X42</f>
        <v>#DIV/0!</v>
      </c>
      <c r="F44" s="118">
        <f ca="1">'Nilai Syafahi'!Y42</f>
        <v>24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117" t="e">
        <f>'Nilai Syafahi'!X43</f>
        <v>#DIV/0!</v>
      </c>
      <c r="F45" s="118">
        <f ca="1">'Nilai Syafahi'!Y43</f>
        <v>24</v>
      </c>
      <c r="G45" s="7" t="str">
        <f>'Nilai Syafahi'!Z43</f>
        <v>-</v>
      </c>
    </row>
    <row r="47" spans="1:7" ht="18.5" x14ac:dyDescent="0.45">
      <c r="D47" s="107"/>
      <c r="E47" s="288" t="s">
        <v>163</v>
      </c>
      <c r="F47" s="288"/>
      <c r="G47" s="288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89" t="str">
        <f>Biodata!C19</f>
        <v xml:space="preserve"> الا ستاذ احمد بيضاري</v>
      </c>
      <c r="F50" s="289"/>
      <c r="G50" s="289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2024-12-19T13:26:44Z</cp:lastPrinted>
  <dcterms:created xsi:type="dcterms:W3CDTF">2019-11-28T05:18:02Z</dcterms:created>
  <dcterms:modified xsi:type="dcterms:W3CDTF">2024-12-19T17:34:13Z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