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4B78BDD4-AFEC-4A0C-965C-83CC743D468B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Nilai'!$B$5:$G$28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B4" i="1"/>
  <c r="O3" i="1"/>
  <c r="K3" i="1"/>
  <c r="D3" i="1"/>
  <c r="B3" i="1"/>
  <c r="M51" i="1"/>
  <c r="M50" i="1"/>
  <c r="B12" i="8"/>
  <c r="B11" i="8"/>
  <c r="B10" i="8"/>
  <c r="A3" i="12"/>
  <c r="B17" i="12"/>
  <c r="B12" i="12"/>
  <c r="B19" i="12"/>
  <c r="B16" i="12"/>
  <c r="B28" i="12"/>
  <c r="B26" i="12"/>
  <c r="B20" i="12"/>
  <c r="B15" i="12"/>
  <c r="B10" i="12"/>
  <c r="B14" i="12"/>
  <c r="B6" i="12"/>
  <c r="B22" i="12"/>
  <c r="B23" i="12"/>
  <c r="B8" i="12"/>
  <c r="B7" i="12"/>
  <c r="B24" i="12"/>
  <c r="B27" i="12"/>
  <c r="B11" i="12"/>
  <c r="B21" i="12"/>
  <c r="B13" i="12"/>
  <c r="B9" i="12"/>
  <c r="B18" i="12"/>
  <c r="B25" i="12"/>
  <c r="E33" i="12"/>
  <c r="G17" i="12"/>
  <c r="G12" i="12"/>
  <c r="G19" i="12"/>
  <c r="G28" i="12"/>
  <c r="G26" i="12"/>
  <c r="G20" i="12"/>
  <c r="G15" i="12"/>
  <c r="G10" i="12"/>
  <c r="G14" i="12"/>
  <c r="G6" i="12"/>
  <c r="G22" i="12"/>
  <c r="G23" i="12"/>
  <c r="G8" i="12"/>
  <c r="G7" i="12"/>
  <c r="G24" i="12"/>
  <c r="G27" i="12"/>
  <c r="G11" i="12"/>
  <c r="G21" i="12"/>
  <c r="G13" i="12"/>
  <c r="G9" i="12"/>
  <c r="G18" i="12"/>
  <c r="C17" i="12"/>
  <c r="C12" i="12"/>
  <c r="C19" i="12"/>
  <c r="C16" i="12"/>
  <c r="C28" i="12"/>
  <c r="C26" i="12"/>
  <c r="C20" i="12"/>
  <c r="C15" i="12"/>
  <c r="C10" i="12"/>
  <c r="C14" i="12"/>
  <c r="C6" i="12"/>
  <c r="C22" i="12"/>
  <c r="C23" i="12"/>
  <c r="C8" i="12"/>
  <c r="C7" i="12"/>
  <c r="C24" i="12"/>
  <c r="C27" i="12"/>
  <c r="C11" i="12"/>
  <c r="C21" i="12"/>
  <c r="C13" i="12"/>
  <c r="C9" i="12"/>
  <c r="C18" i="12"/>
  <c r="C25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7" i="12" s="1"/>
  <c r="Y6" i="4"/>
  <c r="E12" i="12" s="1"/>
  <c r="Y7" i="4"/>
  <c r="E19" i="12" s="1"/>
  <c r="Y8" i="4"/>
  <c r="E16" i="12" s="1"/>
  <c r="Y9" i="4"/>
  <c r="E28" i="12" s="1"/>
  <c r="Y10" i="4"/>
  <c r="E26" i="12" s="1"/>
  <c r="Y11" i="4"/>
  <c r="E20" i="12" s="1"/>
  <c r="Y12" i="4"/>
  <c r="E15" i="12" s="1"/>
  <c r="Y13" i="4"/>
  <c r="E10" i="12" s="1"/>
  <c r="Y14" i="4"/>
  <c r="E14" i="12" s="1"/>
  <c r="Y15" i="4"/>
  <c r="E6" i="12" s="1"/>
  <c r="Y16" i="4"/>
  <c r="E22" i="12" s="1"/>
  <c r="Y17" i="4"/>
  <c r="E23" i="12" s="1"/>
  <c r="Y18" i="4"/>
  <c r="E8" i="12" s="1"/>
  <c r="Y19" i="4"/>
  <c r="E7" i="12" s="1"/>
  <c r="Y20" i="4"/>
  <c r="E24" i="12" s="1"/>
  <c r="Y21" i="4"/>
  <c r="E27" i="12" s="1"/>
  <c r="Y22" i="4"/>
  <c r="E11" i="12" s="1"/>
  <c r="Y23" i="4"/>
  <c r="E21" i="12" s="1"/>
  <c r="Y24" i="4"/>
  <c r="E13" i="12" s="1"/>
  <c r="Y25" i="4"/>
  <c r="E9" i="12" s="1"/>
  <c r="Y26" i="4"/>
  <c r="E18" i="12" s="1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E25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C42" i="4"/>
  <c r="B42" i="4"/>
  <c r="U41" i="4"/>
  <c r="X41" i="4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C38" i="4"/>
  <c r="B38" i="4"/>
  <c r="U37" i="4"/>
  <c r="X37" i="4" s="1"/>
  <c r="C37" i="4"/>
  <c r="B37" i="4"/>
  <c r="U36" i="4"/>
  <c r="X36" i="4" s="1"/>
  <c r="C36" i="4"/>
  <c r="B36" i="4"/>
  <c r="U35" i="4"/>
  <c r="X35" i="4" s="1"/>
  <c r="C35" i="4"/>
  <c r="B35" i="4"/>
  <c r="U34" i="4"/>
  <c r="X34" i="4" s="1"/>
  <c r="C34" i="4"/>
  <c r="B34" i="4"/>
  <c r="U33" i="4"/>
  <c r="X33" i="4" s="1"/>
  <c r="C33" i="4"/>
  <c r="B33" i="4"/>
  <c r="U32" i="4"/>
  <c r="X32" i="4" s="1"/>
  <c r="C32" i="4"/>
  <c r="B32" i="4"/>
  <c r="U31" i="4"/>
  <c r="X31" i="4" s="1"/>
  <c r="C31" i="4"/>
  <c r="B31" i="4"/>
  <c r="U30" i="4"/>
  <c r="X30" i="4" s="1"/>
  <c r="C30" i="4"/>
  <c r="B30" i="4"/>
  <c r="U29" i="4"/>
  <c r="X29" i="4" s="1"/>
  <c r="C29" i="4"/>
  <c r="B29" i="4"/>
  <c r="U28" i="4"/>
  <c r="X28" i="4" s="1"/>
  <c r="C28" i="4"/>
  <c r="B28" i="4"/>
  <c r="U27" i="4"/>
  <c r="X27" i="4" s="1"/>
  <c r="C27" i="4"/>
  <c r="B27" i="4"/>
  <c r="U26" i="4"/>
  <c r="X26" i="4" s="1"/>
  <c r="D18" i="12" s="1"/>
  <c r="C26" i="4"/>
  <c r="B26" i="4"/>
  <c r="U25" i="4"/>
  <c r="X25" i="4" s="1"/>
  <c r="D9" i="12" s="1"/>
  <c r="C25" i="4"/>
  <c r="B25" i="4"/>
  <c r="U24" i="4"/>
  <c r="X24" i="4" s="1"/>
  <c r="D13" i="12" s="1"/>
  <c r="C24" i="4"/>
  <c r="B24" i="4"/>
  <c r="U23" i="4"/>
  <c r="X23" i="4" s="1"/>
  <c r="D21" i="12" s="1"/>
  <c r="C23" i="4"/>
  <c r="B23" i="4"/>
  <c r="U22" i="4"/>
  <c r="X22" i="4" s="1"/>
  <c r="D11" i="12" s="1"/>
  <c r="C22" i="4"/>
  <c r="B22" i="4"/>
  <c r="U21" i="4"/>
  <c r="X21" i="4" s="1"/>
  <c r="D27" i="12" s="1"/>
  <c r="C21" i="4"/>
  <c r="B21" i="4"/>
  <c r="U20" i="4"/>
  <c r="X20" i="4" s="1"/>
  <c r="D24" i="12" s="1"/>
  <c r="C20" i="4"/>
  <c r="B20" i="4"/>
  <c r="U19" i="4"/>
  <c r="X19" i="4" s="1"/>
  <c r="D7" i="12" s="1"/>
  <c r="C19" i="4"/>
  <c r="B19" i="4"/>
  <c r="U18" i="4"/>
  <c r="X18" i="4" s="1"/>
  <c r="D8" i="12" s="1"/>
  <c r="C18" i="4"/>
  <c r="B18" i="4"/>
  <c r="U17" i="4"/>
  <c r="X17" i="4" s="1"/>
  <c r="D23" i="12" s="1"/>
  <c r="C17" i="4"/>
  <c r="B17" i="4"/>
  <c r="U16" i="4"/>
  <c r="X16" i="4" s="1"/>
  <c r="D22" i="12" s="1"/>
  <c r="C16" i="4"/>
  <c r="B16" i="4"/>
  <c r="U15" i="4"/>
  <c r="X15" i="4" s="1"/>
  <c r="D6" i="12" s="1"/>
  <c r="C15" i="4"/>
  <c r="B15" i="4"/>
  <c r="U14" i="4"/>
  <c r="X14" i="4" s="1"/>
  <c r="D14" i="12" s="1"/>
  <c r="C14" i="4"/>
  <c r="B14" i="4"/>
  <c r="U13" i="4"/>
  <c r="X13" i="4" s="1"/>
  <c r="D10" i="12" s="1"/>
  <c r="C13" i="4"/>
  <c r="B13" i="4"/>
  <c r="U12" i="4"/>
  <c r="X12" i="4" s="1"/>
  <c r="D15" i="12" s="1"/>
  <c r="C12" i="4"/>
  <c r="B12" i="4"/>
  <c r="U11" i="4"/>
  <c r="X11" i="4" s="1"/>
  <c r="D20" i="12" s="1"/>
  <c r="C11" i="4"/>
  <c r="B11" i="4"/>
  <c r="U10" i="4"/>
  <c r="X10" i="4" s="1"/>
  <c r="D26" i="12" s="1"/>
  <c r="C10" i="4"/>
  <c r="B10" i="4"/>
  <c r="U9" i="4"/>
  <c r="X9" i="4" s="1"/>
  <c r="D28" i="12" s="1"/>
  <c r="C9" i="4"/>
  <c r="B9" i="4"/>
  <c r="U8" i="4"/>
  <c r="X8" i="4" s="1"/>
  <c r="D16" i="12" s="1"/>
  <c r="C8" i="4"/>
  <c r="B8" i="4"/>
  <c r="U7" i="4"/>
  <c r="X7" i="4" s="1"/>
  <c r="D19" i="12" s="1"/>
  <c r="C7" i="4"/>
  <c r="B7" i="4"/>
  <c r="U6" i="4"/>
  <c r="X6" i="4" s="1"/>
  <c r="D12" i="12" s="1"/>
  <c r="C6" i="4"/>
  <c r="B6" i="4"/>
  <c r="U5" i="4"/>
  <c r="X5" i="4" s="1"/>
  <c r="D1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6" i="12"/>
  <c r="N40" i="1"/>
  <c r="M40" i="1" s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25" i="12"/>
  <c r="G25" i="12"/>
  <c r="B10" i="1"/>
  <c r="Z5" i="4" a="1"/>
  <c r="Z5" i="4" s="1"/>
  <c r="F17" i="12" s="1"/>
  <c r="Z37" i="4" a="1"/>
  <c r="Z37" i="4" s="1"/>
  <c r="Z13" i="4" a="1"/>
  <c r="Z13" i="4" s="1"/>
  <c r="F10" i="12" s="1"/>
  <c r="Z35" i="4" a="1"/>
  <c r="Z35" i="4" s="1"/>
  <c r="Z10" i="4" a="1"/>
  <c r="Z10" i="4" s="1"/>
  <c r="F26" i="12" s="1"/>
  <c r="Z24" i="4" a="1"/>
  <c r="Z24" i="4" s="1"/>
  <c r="F13" i="12" s="1"/>
  <c r="Z36" i="4" a="1"/>
  <c r="Z36" i="4" s="1"/>
  <c r="Z38" i="4" a="1"/>
  <c r="Z38" i="4" s="1"/>
  <c r="Z41" i="4" a="1"/>
  <c r="Z41" i="4" s="1"/>
  <c r="Z9" i="4" a="1"/>
  <c r="Z9" i="4" s="1"/>
  <c r="F28" i="12" s="1"/>
  <c r="Z14" i="4" a="1"/>
  <c r="Z14" i="4" s="1"/>
  <c r="F14" i="12" s="1"/>
  <c r="Z30" i="4" a="1"/>
  <c r="Z30" i="4" s="1"/>
  <c r="Z27" i="4" a="1"/>
  <c r="Z27" i="4" s="1"/>
  <c r="Z40" i="4" a="1"/>
  <c r="Z40" i="4" s="1"/>
  <c r="Z16" i="4" a="1"/>
  <c r="Z16" i="4" s="1"/>
  <c r="F22" i="12" s="1"/>
  <c r="Z8" i="4" a="1"/>
  <c r="Z8" i="4" s="1"/>
  <c r="F16" i="12" s="1"/>
  <c r="Z25" i="4" a="1"/>
  <c r="Z25" i="4" s="1"/>
  <c r="F9" i="12" s="1"/>
  <c r="Z17" i="4" a="1"/>
  <c r="Z17" i="4" s="1"/>
  <c r="F23" i="12" s="1"/>
  <c r="Z20" i="4" a="1"/>
  <c r="Z20" i="4" s="1"/>
  <c r="F24" i="12" s="1"/>
  <c r="Z26" i="4" a="1"/>
  <c r="Z26" i="4" s="1"/>
  <c r="F18" i="12" s="1"/>
  <c r="Z42" i="4" a="1"/>
  <c r="Z42" i="4" s="1"/>
  <c r="Z6" i="4" a="1"/>
  <c r="Z6" i="4" s="1"/>
  <c r="F12" i="12" s="1"/>
  <c r="Z43" i="4" a="1"/>
  <c r="Z43" i="4" s="1"/>
  <c r="Z19" i="4" a="1"/>
  <c r="Z19" i="4" s="1"/>
  <c r="F7" i="12" s="1"/>
  <c r="Z33" i="4" a="1"/>
  <c r="Z33" i="4" s="1"/>
  <c r="Z11" i="4" a="1"/>
  <c r="Z11" i="4" s="1"/>
  <c r="F20" i="12" s="1"/>
  <c r="Z28" i="4" a="1"/>
  <c r="Z28" i="4" s="1"/>
  <c r="Z31" i="4" a="1"/>
  <c r="Z31" i="4" s="1"/>
  <c r="Z23" i="4" a="1"/>
  <c r="Z23" i="4" s="1"/>
  <c r="F21" i="12" s="1"/>
  <c r="Z12" i="4" a="1"/>
  <c r="Z12" i="4" s="1"/>
  <c r="F15" i="12" s="1"/>
  <c r="Z21" i="4" a="1"/>
  <c r="Z21" i="4" s="1"/>
  <c r="F27" i="12" s="1"/>
  <c r="Z7" i="4" a="1"/>
  <c r="Z7" i="4" s="1"/>
  <c r="F19" i="12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F6" i="12" s="1"/>
  <c r="Z22" i="4" a="1"/>
  <c r="Z22" i="4" s="1"/>
  <c r="F11" i="12" s="1"/>
  <c r="Z18" i="4" a="1"/>
  <c r="Z18" i="4" s="1"/>
  <c r="F8" i="12" s="1"/>
  <c r="Z4" i="4" a="1"/>
  <c r="Z4" i="4" s="1"/>
  <c r="B43" i="1" l="1"/>
  <c r="F25" i="12"/>
</calcChain>
</file>

<file path=xl/sharedStrings.xml><?xml version="1.0" encoding="utf-8"?>
<sst xmlns="http://schemas.openxmlformats.org/spreadsheetml/2006/main" count="498" uniqueCount="363">
  <si>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</si>
  <si>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</si>
  <si>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</si>
  <si>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</si>
  <si>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</si>
  <si>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</si>
  <si>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</si>
  <si>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</si>
  <si>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</si>
  <si>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</si>
  <si>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</si>
  <si>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</si>
  <si>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</si>
  <si>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</si>
  <si>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</si>
  <si>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</si>
  <si>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</si>
  <si>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</si>
  <si>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</si>
  <si>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</si>
  <si>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</si>
  <si>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</si>
  <si>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</si>
  <si>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</si>
  <si>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</si>
  <si>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</si>
  <si>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</si>
  <si>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</si>
  <si>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</si>
  <si>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</si>
  <si>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</si>
  <si>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</si>
  <si>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</si>
  <si>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</si>
  <si>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</si>
  <si>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</si>
  <si>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</si>
  <si>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</si>
  <si>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</si>
  <si>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</si>
  <si>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</si>
  <si>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</si>
  <si>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</si>
  <si>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</si>
  <si>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</si>
  <si>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</si>
  <si>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</si>
  <si>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</si>
  <si>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</si>
  <si>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</si>
  <si>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</si>
  <si>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</si>
  <si>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</si>
  <si>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</si>
  <si>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</si>
  <si>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</si>
  <si>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</si>
  <si>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</si>
  <si>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</si>
  <si>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</si>
  <si>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</si>
  <si>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</si>
  <si>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</si>
  <si>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</si>
  <si>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</si>
  <si>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</si>
  <si>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</si>
  <si>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</si>
  <si>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</si>
  <si>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</si>
  <si>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</si>
  <si>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</si>
  <si>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</si>
  <si>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</si>
  <si>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</si>
  <si>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</si>
  <si>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</si>
  <si>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</si>
  <si>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</si>
  <si>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</si>
  <si>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</si>
  <si>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</si>
  <si>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</si>
  <si>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</si>
  <si>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</si>
  <si>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</si>
  <si>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</si>
  <si>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</si>
  <si>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</si>
  <si>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</si>
  <si>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</si>
  <si>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</si>
  <si>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</si>
  <si>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</si>
  <si>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</si>
  <si>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</si>
  <si>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</si>
  <si>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</si>
  <si>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</si>
  <si>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</si>
  <si>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</si>
  <si>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</si>
  <si>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</si>
  <si>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</si>
  <si>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</si>
  <si>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</si>
  <si>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</si>
  <si>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</si>
  <si>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</si>
  <si>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</si>
  <si>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</si>
  <si>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</si>
  <si>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</si>
  <si>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</si>
  <si>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</si>
  <si>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</si>
  <si>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</si>
  <si>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</si>
  <si>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</si>
  <si>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</si>
  <si>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</si>
  <si>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</si>
  <si>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</si>
  <si>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</si>
  <si>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</si>
  <si>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</si>
  <si>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</si>
  <si>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</si>
  <si>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</si>
  <si>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</si>
  <si>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</si>
  <si>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</si>
  <si>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</si>
  <si>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</si>
  <si>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</si>
  <si>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</si>
  <si>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</si>
  <si>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</si>
  <si>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</si>
  <si>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</si>
  <si>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</si>
  <si>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</si>
  <si>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</si>
  <si>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</si>
  <si>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</si>
  <si>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</si>
  <si>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</si>
  <si>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</si>
  <si>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</si>
  <si>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</si>
  <si>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</si>
  <si>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</si>
  <si>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</si>
  <si>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</si>
  <si>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</si>
  <si>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</si>
  <si>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</si>
  <si>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</si>
  <si>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</si>
  <si>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</si>
  <si>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</si>
  <si>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</si>
  <si>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</si>
  <si>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</si>
  <si>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</si>
  <si>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</si>
  <si>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</si>
  <si>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</si>
  <si>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</si>
  <si>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</si>
  <si>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</si>
  <si>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</si>
  <si>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</si>
  <si>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</si>
  <si>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</si>
  <si>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</si>
  <si>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</si>
  <si>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</si>
  <si>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</si>
  <si>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</si>
  <si>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</si>
  <si>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</si>
  <si>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</si>
  <si>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</si>
  <si>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</si>
  <si>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</si>
  <si>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</si>
  <si>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</si>
  <si>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</si>
  <si>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</si>
  <si>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</si>
  <si>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</si>
  <si>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</si>
  <si>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</si>
  <si>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</si>
  <si>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</si>
  <si>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</si>
  <si>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</si>
  <si>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</si>
  <si>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</si>
  <si>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</si>
  <si>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</si>
  <si>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</si>
  <si>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</si>
  <si>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</si>
  <si>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</si>
  <si>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</si>
  <si>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</si>
  <si>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</si>
  <si>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</si>
  <si>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</si>
  <si>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</si>
  <si>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</si>
  <si>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</si>
  <si>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</si>
  <si>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</si>
  <si>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</si>
  <si>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</si>
  <si>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</si>
  <si>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</si>
  <si>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</si>
  <si>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</si>
  <si>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</si>
  <si>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</si>
  <si>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</si>
  <si>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</si>
  <si>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</si>
  <si>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</si>
  <si>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</si>
  <si>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</si>
  <si>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</si>
  <si>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</si>
  <si>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</si>
  <si>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</si>
  <si>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</si>
  <si>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</si>
  <si>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</si>
  <si>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</si>
  <si>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</si>
  <si>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</si>
  <si>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</si>
  <si>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</si>
  <si>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</si>
  <si>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</si>
  <si>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</si>
  <si>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</si>
  <si>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</si>
  <si>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</si>
  <si>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</si>
  <si>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</si>
  <si>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</si>
  <si>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</si>
  <si>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</si>
  <si>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</si>
  <si>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</si>
  <si>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</si>
  <si>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</si>
  <si>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</si>
  <si>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</si>
  <si>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</si>
  <si>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</si>
  <si>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</si>
  <si>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</si>
  <si>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</si>
  <si>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</si>
  <si>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</si>
  <si>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</si>
  <si>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</si>
  <si>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</si>
  <si>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</si>
  <si>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</si>
  <si>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</si>
  <si>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</si>
  <si>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</si>
  <si>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</si>
  <si>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</si>
  <si>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</si>
  <si>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</si>
  <si>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</si>
  <si>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</si>
  <si>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</si>
  <si>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</si>
  <si>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</si>
  <si>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</si>
  <si>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</si>
  <si>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</si>
  <si>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</si>
  <si>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</si>
  <si>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</si>
  <si>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</si>
  <si>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</si>
  <si>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السادس أ للبنين</t>
  </si>
  <si>
    <t>AHMAD FARIS</t>
  </si>
  <si>
    <t>0508</t>
  </si>
  <si>
    <t>AHMAD YAZID ZIDAN</t>
  </si>
  <si>
    <t>0509</t>
  </si>
  <si>
    <t>ALIEF RAMADHAN BADRI</t>
  </si>
  <si>
    <t>0510</t>
  </si>
  <si>
    <t>ALWI RISFALDI</t>
  </si>
  <si>
    <t>0511</t>
  </si>
  <si>
    <t>DAIVA WAHYU AJI ARDIAN</t>
  </si>
  <si>
    <t>0512</t>
  </si>
  <si>
    <t>FALIH KHAIRAN AL GHANI</t>
  </si>
  <si>
    <t>0513</t>
  </si>
  <si>
    <t>KHOLIL IBRAHIM</t>
  </si>
  <si>
    <t>0514</t>
  </si>
  <si>
    <t>MUHAMAD IRFAN HABIB AL JAUHAR</t>
  </si>
  <si>
    <t>0515</t>
  </si>
  <si>
    <t>MUHAMAD IRSAN APRIANSYAH</t>
  </si>
  <si>
    <t>0516</t>
  </si>
  <si>
    <t>MUHAMAD ZIDAN BAWAZIER</t>
  </si>
  <si>
    <t>0517</t>
  </si>
  <si>
    <t>MUHAMMAD DZAKY ARYA PRATAMA</t>
  </si>
  <si>
    <t>0518</t>
  </si>
  <si>
    <t>MUHAMMAD LUCKY LUKMAN</t>
  </si>
  <si>
    <t>0519</t>
  </si>
  <si>
    <t>MUHAMMAD NUFRIZAL</t>
  </si>
  <si>
    <t>0520</t>
  </si>
  <si>
    <t>MUHAMMAD RIZKI RAMADHANI</t>
  </si>
  <si>
    <t>0521</t>
  </si>
  <si>
    <t>MUHAMMAD ZAKI ALGIFARI</t>
  </si>
  <si>
    <t>0522</t>
  </si>
  <si>
    <t>NAZID ZULFA NOOR</t>
  </si>
  <si>
    <t>0523</t>
  </si>
  <si>
    <t>NIBRAAS CAHYA GEMILANG</t>
  </si>
  <si>
    <t>0524</t>
  </si>
  <si>
    <t>REFALDI</t>
  </si>
  <si>
    <t>0525</t>
  </si>
  <si>
    <t>RIZKY ARIF FIRMANSYAH</t>
  </si>
  <si>
    <t>0526</t>
  </si>
  <si>
    <t>SAKTIAJI AL-BAQRY</t>
  </si>
  <si>
    <t>0527</t>
  </si>
  <si>
    <t>SUJENI TURANDI</t>
  </si>
  <si>
    <t>0528</t>
  </si>
  <si>
    <t>SULTAN MAULANA FAHRI</t>
  </si>
  <si>
    <t>0529</t>
  </si>
  <si>
    <t>YOGI PRATAMA</t>
  </si>
  <si>
    <t>0530</t>
  </si>
  <si>
    <t>علوي رسفلدي</t>
  </si>
  <si>
    <t>خليل إبرهيم</t>
  </si>
  <si>
    <t>نزيد زلفى نور</t>
  </si>
  <si>
    <t>ريفلدي</t>
  </si>
  <si>
    <t>سكتي أجي البقري</t>
  </si>
  <si>
    <t>أحمد فارس</t>
  </si>
  <si>
    <t>أحمد يزيد جدا</t>
  </si>
  <si>
    <t>أليف رمضان بدري</t>
  </si>
  <si>
    <t>فالح خيرا الغاني</t>
  </si>
  <si>
    <t>محمد لوكي لقمان</t>
  </si>
  <si>
    <t>محمد نوفرجال</t>
  </si>
  <si>
    <t>محمد ذكي الغفاري</t>
  </si>
  <si>
    <t>نبراس تثحيا غوملانج</t>
  </si>
  <si>
    <t>دائفة وحيو أجي أرديان</t>
  </si>
  <si>
    <t>محمد عرفان حبيب الجوهر</t>
  </si>
  <si>
    <t>محمد إرسان أفريانشاه</t>
  </si>
  <si>
    <t>محمد زيدا بوازير</t>
  </si>
  <si>
    <t>محمد ذكي أريا فراتاما</t>
  </si>
  <si>
    <t>محمد رزقي رمضاني</t>
  </si>
  <si>
    <t>رزقي عارف فرمانشاه</t>
  </si>
  <si>
    <t>سوجيني توراندي</t>
  </si>
  <si>
    <t>سلطان مولانا فخري</t>
  </si>
  <si>
    <t>يوغي فراتاما</t>
  </si>
  <si>
    <t>الأستاذ أحمد دمياطي</t>
  </si>
  <si>
    <t>كثرة القراءة مفتاح باب العلم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</si>
</sst>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21342</xdr:colOff>
      <xdr:row>53</xdr:row>
      <xdr:rowOff>163340</xdr:rowOff>
    </xdr:from>
    <xdr:to>
      <xdr:col>13</xdr:col>
      <xdr:colOff>370212</xdr:colOff>
      <xdr:row>57</xdr:row>
      <xdr:rowOff>107218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A637DAE-74A7-A4A9-39A4-DF2795D80B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02" t="30788" b="48409"/>
        <a:stretch/>
      </xdr:blipFill>
      <xdr:spPr>
        <a:xfrm rot="21008474">
          <a:off x="3212217" y="10126490"/>
          <a:ext cx="1491870" cy="858278"/>
        </a:xfrm>
        <a:prstGeom prst="rect">
          <a:avLst/>
        </a:prstGeom>
      </xdr:spPr>
    </xdr:pic>
    <xdr:clientData/>
  </xdr:twoCellAnchor>
  <xdr:twoCellAnchor editAs="oneCell">
    <xdr:from>
      <xdr:col>14</xdr:col>
      <xdr:colOff>252523</xdr:colOff>
      <xdr:row>52</xdr:row>
      <xdr:rowOff>125423</xdr:rowOff>
    </xdr:from>
    <xdr:to>
      <xdr:col>16</xdr:col>
      <xdr:colOff>579703</xdr:colOff>
      <xdr:row>55</xdr:row>
      <xdr:rowOff>101323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C1F301C-5035-13F6-39F3-4FFFB00EF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0720" b="74357" l="16447" r="79936"/>
                  </a14:imgEffect>
                </a14:imgLayer>
              </a14:imgProps>
            </a:ext>
          </a:extLst>
        </a:blip>
        <a:srcRect l="8511" t="14015" r="12128" b="18939"/>
        <a:stretch>
          <a:fillRect/>
        </a:stretch>
      </xdr:blipFill>
      <xdr:spPr>
        <a:xfrm rot="21276199">
          <a:off x="4957873" y="9859973"/>
          <a:ext cx="1393980" cy="66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238126</xdr:colOff>
      <xdr:row>30</xdr:row>
      <xdr:rowOff>9525</xdr:rowOff>
    </xdr:from>
    <xdr:to>
      <xdr:col>6</xdr:col>
      <xdr:colOff>231931</xdr:colOff>
      <xdr:row>32</xdr:row>
      <xdr:rowOff>80675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14475C-E429-4A6F-BCCB-096450F40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0720" b="74357" l="16447" r="79936"/>
                  </a14:imgEffect>
                </a14:imgLayer>
              </a14:imgProps>
            </a:ext>
          </a:extLst>
        </a:blip>
        <a:srcRect l="8511" t="14015" r="12128" b="18939"/>
        <a:stretch>
          <a:fillRect/>
        </a:stretch>
      </xdr:blipFill>
      <xdr:spPr>
        <a:xfrm rot="21276199">
          <a:off x="4276726" y="6705600"/>
          <a:ext cx="1641630" cy="54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144</v>
      </c>
    </row>
    <row r="4" spans="3:3" x14ac:dyDescent="0.35">
      <c r="C4" t="s">
        <v>145</v>
      </c>
    </row>
    <row r="6" spans="3:3" x14ac:dyDescent="0.35">
      <c r="C6" t="s">
        <v>146</v>
      </c>
    </row>
    <row r="8" spans="3:3" x14ac:dyDescent="0.35">
      <c r="C8" t="s">
        <v>147</v>
      </c>
    </row>
    <row r="10" spans="3:3" x14ac:dyDescent="0.35">
      <c r="C10" t="s">
        <v>148</v>
      </c>
    </row>
    <row r="12" spans="3:3" x14ac:dyDescent="0.35">
      <c r="C12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F7" sqref="F7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6" t="s">
        <v>172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21" t="s">
        <v>96</v>
      </c>
      <c r="B4" s="21" t="str">
        <f>CONCATENATE(F4," ",E4," ",C4)</f>
        <v>الصف  : السادس أ للبنين</v>
      </c>
      <c r="C4" s="122" t="s">
        <v>291</v>
      </c>
      <c r="D4" s="122"/>
      <c r="E4" s="122" t="s">
        <v>153</v>
      </c>
      <c r="F4" s="59" t="s">
        <v>152</v>
      </c>
      <c r="G4" s="121">
        <v>1</v>
      </c>
    </row>
    <row r="5" spans="1:12" x14ac:dyDescent="0.35">
      <c r="C5" s="122"/>
      <c r="D5" s="122"/>
      <c r="E5" s="122"/>
      <c r="F5" s="58" t="s">
        <v>157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2" t="s">
        <v>96</v>
      </c>
      <c r="B7" s="21" t="str">
        <f>CONCATENATE(F7," ",E7," ",C7)</f>
        <v>الفصل الدراسي : الأول</v>
      </c>
      <c r="C7" s="131" t="s">
        <v>282</v>
      </c>
      <c r="D7" s="131"/>
      <c r="E7" s="122" t="s">
        <v>153</v>
      </c>
      <c r="F7" s="59" t="s">
        <v>164</v>
      </c>
      <c r="G7" s="121">
        <v>2</v>
      </c>
    </row>
    <row r="8" spans="1:12" ht="21.65" customHeight="1" x14ac:dyDescent="0.35">
      <c r="C8" s="131"/>
      <c r="D8" s="131"/>
      <c r="E8" s="122"/>
      <c r="F8" s="58" t="s">
        <v>165</v>
      </c>
      <c r="G8" s="121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21" t="s">
        <v>96</v>
      </c>
      <c r="B10" s="21" t="str">
        <f>CONCATENATE(F10," : ")</f>
        <v xml:space="preserve">العام الدراسي : </v>
      </c>
      <c r="C10" s="133" t="s">
        <v>284</v>
      </c>
      <c r="D10" s="133"/>
      <c r="E10" s="122" t="s">
        <v>153</v>
      </c>
      <c r="F10" s="57" t="s">
        <v>154</v>
      </c>
      <c r="G10" s="121">
        <v>3</v>
      </c>
    </row>
    <row r="11" spans="1:12" ht="26.15" customHeight="1" x14ac:dyDescent="0.35">
      <c r="B11" s="114" t="str">
        <f>CONCATENATE(C10," ","م")</f>
        <v>٢٠٢٤ - ٢٠٢٥ م</v>
      </c>
      <c r="C11" s="132" t="s">
        <v>285</v>
      </c>
      <c r="D11" s="132"/>
      <c r="E11" s="122"/>
      <c r="F11" s="58" t="s">
        <v>156</v>
      </c>
      <c r="G11" s="121"/>
    </row>
    <row r="12" spans="1:12" ht="6.65" customHeight="1" x14ac:dyDescent="0.35">
      <c r="B12" s="114" t="str">
        <f>CONCATENATE(C11," ","ه")</f>
        <v>١٤٤٥ - ١٤٤٦ ه</v>
      </c>
      <c r="C12" s="120"/>
      <c r="D12" s="120"/>
      <c r="E12" s="120"/>
      <c r="F12" s="120"/>
      <c r="G12" s="120"/>
    </row>
    <row r="13" spans="1:12" ht="21" x14ac:dyDescent="0.5">
      <c r="C13" s="124" t="s">
        <v>286</v>
      </c>
      <c r="D13" s="125"/>
      <c r="E13" s="122" t="s">
        <v>153</v>
      </c>
      <c r="F13" s="57" t="s">
        <v>155</v>
      </c>
      <c r="G13" s="121">
        <v>4</v>
      </c>
      <c r="K13" s="55"/>
    </row>
    <row r="14" spans="1:12" ht="22.5" customHeight="1" x14ac:dyDescent="0.35">
      <c r="C14" s="125" t="s">
        <v>287</v>
      </c>
      <c r="D14" s="125"/>
      <c r="E14" s="122"/>
      <c r="F14" s="58" t="s">
        <v>158</v>
      </c>
      <c r="G14" s="121"/>
      <c r="K14" s="55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30" t="s">
        <v>290</v>
      </c>
      <c r="D16" s="130"/>
      <c r="E16" s="122" t="s">
        <v>153</v>
      </c>
      <c r="F16" s="57" t="s">
        <v>160</v>
      </c>
      <c r="G16" s="121">
        <v>5</v>
      </c>
      <c r="K16" s="55"/>
      <c r="L16" s="55"/>
    </row>
    <row r="17" spans="3:12" ht="14.5" customHeight="1" x14ac:dyDescent="0.35">
      <c r="C17" s="130"/>
      <c r="D17" s="130"/>
      <c r="E17" s="122"/>
      <c r="F17" s="58" t="s">
        <v>162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361</v>
      </c>
      <c r="D19" s="119"/>
      <c r="E19" s="122" t="s">
        <v>153</v>
      </c>
      <c r="F19" s="57" t="s">
        <v>161</v>
      </c>
      <c r="G19" s="121">
        <v>6</v>
      </c>
    </row>
    <row r="20" spans="3:12" x14ac:dyDescent="0.35">
      <c r="C20" s="119"/>
      <c r="D20" s="119"/>
      <c r="E20" s="122"/>
      <c r="F20" s="56" t="s">
        <v>163</v>
      </c>
      <c r="G20" s="121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2" zoomScale="130" zoomScaleNormal="130" workbookViewId="0">
      <selection activeCell="D25" sqref="D25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5429687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166</v>
      </c>
      <c r="C1" s="12" t="s">
        <v>167</v>
      </c>
      <c r="D1" s="12" t="s">
        <v>289</v>
      </c>
    </row>
    <row r="2" spans="1:4" ht="18" customHeight="1" x14ac:dyDescent="0.35">
      <c r="A2" s="7">
        <v>1</v>
      </c>
      <c r="B2" s="116" t="s">
        <v>292</v>
      </c>
      <c r="C2" s="117" t="s">
        <v>293</v>
      </c>
      <c r="D2" s="118" t="s">
        <v>343</v>
      </c>
    </row>
    <row r="3" spans="1:4" ht="18" customHeight="1" x14ac:dyDescent="0.35">
      <c r="A3" s="7">
        <v>2</v>
      </c>
      <c r="B3" s="116" t="s">
        <v>294</v>
      </c>
      <c r="C3" s="117" t="s">
        <v>295</v>
      </c>
      <c r="D3" s="118" t="s">
        <v>344</v>
      </c>
    </row>
    <row r="4" spans="1:4" ht="18" customHeight="1" x14ac:dyDescent="0.35">
      <c r="A4" s="7">
        <v>3</v>
      </c>
      <c r="B4" s="116" t="s">
        <v>296</v>
      </c>
      <c r="C4" s="117" t="s">
        <v>297</v>
      </c>
      <c r="D4" s="118" t="s">
        <v>345</v>
      </c>
    </row>
    <row r="5" spans="1:4" ht="18" customHeight="1" x14ac:dyDescent="0.35">
      <c r="A5" s="7">
        <v>4</v>
      </c>
      <c r="B5" s="116" t="s">
        <v>298</v>
      </c>
      <c r="C5" s="117" t="s">
        <v>299</v>
      </c>
      <c r="D5" s="118" t="s">
        <v>338</v>
      </c>
    </row>
    <row r="6" spans="1:4" ht="18" customHeight="1" x14ac:dyDescent="0.35">
      <c r="A6" s="7">
        <v>5</v>
      </c>
      <c r="B6" s="116" t="s">
        <v>300</v>
      </c>
      <c r="C6" s="117" t="s">
        <v>301</v>
      </c>
      <c r="D6" s="118" t="s">
        <v>351</v>
      </c>
    </row>
    <row r="7" spans="1:4" ht="18" customHeight="1" x14ac:dyDescent="0.35">
      <c r="A7" s="7">
        <v>6</v>
      </c>
      <c r="B7" s="116" t="s">
        <v>302</v>
      </c>
      <c r="C7" s="117" t="s">
        <v>303</v>
      </c>
      <c r="D7" s="118" t="s">
        <v>346</v>
      </c>
    </row>
    <row r="8" spans="1:4" ht="18" customHeight="1" x14ac:dyDescent="0.35">
      <c r="A8" s="7">
        <v>7</v>
      </c>
      <c r="B8" s="116" t="s">
        <v>304</v>
      </c>
      <c r="C8" s="117" t="s">
        <v>305</v>
      </c>
      <c r="D8" s="118" t="s">
        <v>339</v>
      </c>
    </row>
    <row r="9" spans="1:4" ht="18" customHeight="1" x14ac:dyDescent="0.35">
      <c r="A9" s="7">
        <v>8</v>
      </c>
      <c r="B9" s="116" t="s">
        <v>306</v>
      </c>
      <c r="C9" s="117" t="s">
        <v>307</v>
      </c>
      <c r="D9" s="118" t="s">
        <v>352</v>
      </c>
    </row>
    <row r="10" spans="1:4" ht="18" customHeight="1" x14ac:dyDescent="0.35">
      <c r="A10" s="7">
        <v>9</v>
      </c>
      <c r="B10" s="116" t="s">
        <v>308</v>
      </c>
      <c r="C10" s="117" t="s">
        <v>309</v>
      </c>
      <c r="D10" s="118" t="s">
        <v>353</v>
      </c>
    </row>
    <row r="11" spans="1:4" ht="18" customHeight="1" x14ac:dyDescent="0.35">
      <c r="A11" s="7">
        <v>10</v>
      </c>
      <c r="B11" s="116" t="s">
        <v>310</v>
      </c>
      <c r="C11" s="117" t="s">
        <v>311</v>
      </c>
      <c r="D11" s="118" t="s">
        <v>354</v>
      </c>
    </row>
    <row r="12" spans="1:4" ht="18" customHeight="1" x14ac:dyDescent="0.35">
      <c r="A12" s="7">
        <v>11</v>
      </c>
      <c r="B12" s="116" t="s">
        <v>312</v>
      </c>
      <c r="C12" s="117" t="s">
        <v>313</v>
      </c>
      <c r="D12" s="118" t="s">
        <v>355</v>
      </c>
    </row>
    <row r="13" spans="1:4" ht="18" customHeight="1" x14ac:dyDescent="0.35">
      <c r="A13" s="7">
        <v>12</v>
      </c>
      <c r="B13" s="116" t="s">
        <v>314</v>
      </c>
      <c r="C13" s="117" t="s">
        <v>315</v>
      </c>
      <c r="D13" s="118" t="s">
        <v>347</v>
      </c>
    </row>
    <row r="14" spans="1:4" ht="18" customHeight="1" x14ac:dyDescent="0.35">
      <c r="A14" s="7">
        <v>13</v>
      </c>
      <c r="B14" s="116" t="s">
        <v>316</v>
      </c>
      <c r="C14" s="117" t="s">
        <v>317</v>
      </c>
      <c r="D14" s="118" t="s">
        <v>348</v>
      </c>
    </row>
    <row r="15" spans="1:4" ht="18" customHeight="1" x14ac:dyDescent="0.35">
      <c r="A15" s="7">
        <v>14</v>
      </c>
      <c r="B15" s="116" t="s">
        <v>318</v>
      </c>
      <c r="C15" s="117" t="s">
        <v>319</v>
      </c>
      <c r="D15" s="118" t="s">
        <v>356</v>
      </c>
    </row>
    <row r="16" spans="1:4" ht="18" customHeight="1" x14ac:dyDescent="0.35">
      <c r="A16" s="7">
        <v>15</v>
      </c>
      <c r="B16" s="116" t="s">
        <v>320</v>
      </c>
      <c r="C16" s="117" t="s">
        <v>321</v>
      </c>
      <c r="D16" s="118" t="s">
        <v>349</v>
      </c>
    </row>
    <row r="17" spans="1:4" ht="18" customHeight="1" x14ac:dyDescent="0.35">
      <c r="A17" s="7">
        <v>16</v>
      </c>
      <c r="B17" s="116" t="s">
        <v>322</v>
      </c>
      <c r="C17" s="117" t="s">
        <v>323</v>
      </c>
      <c r="D17" s="118" t="s">
        <v>340</v>
      </c>
    </row>
    <row r="18" spans="1:4" ht="18" customHeight="1" x14ac:dyDescent="0.35">
      <c r="A18" s="7">
        <v>17</v>
      </c>
      <c r="B18" s="116" t="s">
        <v>324</v>
      </c>
      <c r="C18" s="117" t="s">
        <v>325</v>
      </c>
      <c r="D18" s="118" t="s">
        <v>350</v>
      </c>
    </row>
    <row r="19" spans="1:4" ht="18" customHeight="1" x14ac:dyDescent="0.35">
      <c r="A19" s="7">
        <v>18</v>
      </c>
      <c r="B19" s="116" t="s">
        <v>326</v>
      </c>
      <c r="C19" s="117" t="s">
        <v>327</v>
      </c>
      <c r="D19" s="118" t="s">
        <v>341</v>
      </c>
    </row>
    <row r="20" spans="1:4" ht="18" customHeight="1" x14ac:dyDescent="0.35">
      <c r="A20" s="7">
        <v>19</v>
      </c>
      <c r="B20" s="116" t="s">
        <v>328</v>
      </c>
      <c r="C20" s="117" t="s">
        <v>329</v>
      </c>
      <c r="D20" s="118" t="s">
        <v>357</v>
      </c>
    </row>
    <row r="21" spans="1:4" ht="18" customHeight="1" x14ac:dyDescent="0.35">
      <c r="A21" s="7">
        <v>20</v>
      </c>
      <c r="B21" s="116" t="s">
        <v>330</v>
      </c>
      <c r="C21" s="117" t="s">
        <v>331</v>
      </c>
      <c r="D21" s="118" t="s">
        <v>342</v>
      </c>
    </row>
    <row r="22" spans="1:4" ht="18" customHeight="1" x14ac:dyDescent="0.35">
      <c r="A22" s="7">
        <v>21</v>
      </c>
      <c r="B22" s="116" t="s">
        <v>332</v>
      </c>
      <c r="C22" s="117" t="s">
        <v>333</v>
      </c>
      <c r="D22" s="118" t="s">
        <v>358</v>
      </c>
    </row>
    <row r="23" spans="1:4" ht="18" customHeight="1" x14ac:dyDescent="0.35">
      <c r="A23" s="7">
        <v>22</v>
      </c>
      <c r="B23" s="116" t="s">
        <v>334</v>
      </c>
      <c r="C23" s="117" t="s">
        <v>335</v>
      </c>
      <c r="D23" s="118" t="s">
        <v>359</v>
      </c>
    </row>
    <row r="24" spans="1:4" ht="18" customHeight="1" x14ac:dyDescent="0.35">
      <c r="A24" s="7">
        <v>23</v>
      </c>
      <c r="B24" s="116" t="s">
        <v>336</v>
      </c>
      <c r="C24" s="117" t="s">
        <v>337</v>
      </c>
      <c r="D24" s="118" t="s">
        <v>360</v>
      </c>
    </row>
    <row r="25" spans="1:4" ht="18" customHeight="1" x14ac:dyDescent="0.35">
      <c r="A25" s="7">
        <v>24</v>
      </c>
      <c r="B25" s="116"/>
      <c r="C25" s="117"/>
      <c r="D25" s="118" t="s">
        <v>96</v>
      </c>
    </row>
    <row r="26" spans="1:4" ht="18" customHeight="1" x14ac:dyDescent="0.35">
      <c r="A26" s="7">
        <v>25</v>
      </c>
      <c r="B26" s="116"/>
      <c r="C26" s="117"/>
      <c r="D26" s="118" t="s">
        <v>96</v>
      </c>
    </row>
    <row r="27" spans="1:4" ht="18" customHeight="1" x14ac:dyDescent="0.35">
      <c r="A27" s="7">
        <v>26</v>
      </c>
      <c r="B27" s="116"/>
      <c r="C27" s="117"/>
      <c r="D27" s="118" t="s">
        <v>96</v>
      </c>
    </row>
    <row r="28" spans="1:4" ht="18" customHeight="1" x14ac:dyDescent="0.35">
      <c r="A28" s="7">
        <v>27</v>
      </c>
      <c r="B28" s="116"/>
      <c r="C28" s="117"/>
      <c r="D28" s="118" t="s">
        <v>96</v>
      </c>
    </row>
    <row r="29" spans="1:4" ht="18" customHeight="1" x14ac:dyDescent="0.35">
      <c r="A29" s="7">
        <v>28</v>
      </c>
      <c r="B29" s="116"/>
      <c r="C29" s="117"/>
      <c r="D29" s="118" t="s">
        <v>96</v>
      </c>
    </row>
    <row r="30" spans="1:4" ht="18" customHeight="1" x14ac:dyDescent="0.35">
      <c r="A30" s="7">
        <v>29</v>
      </c>
      <c r="B30" s="116"/>
      <c r="C30" s="117"/>
      <c r="D30" s="118" t="s">
        <v>96</v>
      </c>
    </row>
    <row r="31" spans="1:4" ht="18" customHeight="1" x14ac:dyDescent="0.35">
      <c r="A31" s="7">
        <v>30</v>
      </c>
      <c r="B31" s="116"/>
      <c r="C31" s="117"/>
      <c r="D31" s="118" t="s">
        <v>96</v>
      </c>
    </row>
    <row r="32" spans="1:4" ht="18" customHeight="1" x14ac:dyDescent="0.35">
      <c r="A32" s="7">
        <v>31</v>
      </c>
      <c r="B32" s="116"/>
      <c r="C32" s="116"/>
      <c r="D32" s="118" t="s">
        <v>96</v>
      </c>
    </row>
    <row r="33" spans="1:4" ht="18" customHeight="1" x14ac:dyDescent="0.35">
      <c r="A33" s="7">
        <v>32</v>
      </c>
      <c r="B33" s="116"/>
      <c r="C33" s="116"/>
      <c r="D33" s="118" t="s">
        <v>96</v>
      </c>
    </row>
    <row r="34" spans="1:4" ht="18" customHeight="1" x14ac:dyDescent="0.35">
      <c r="A34" s="7">
        <v>33</v>
      </c>
      <c r="B34" s="116"/>
      <c r="C34" s="116"/>
      <c r="D34" s="118" t="s">
        <v>96</v>
      </c>
    </row>
    <row r="35" spans="1:4" ht="18" customHeight="1" x14ac:dyDescent="0.35">
      <c r="A35" s="7">
        <v>34</v>
      </c>
      <c r="B35" s="116"/>
      <c r="C35" s="116"/>
      <c r="D35" s="118" t="s">
        <v>96</v>
      </c>
    </row>
    <row r="36" spans="1:4" ht="18" customHeight="1" x14ac:dyDescent="0.35">
      <c r="A36" s="7">
        <v>35</v>
      </c>
      <c r="B36" s="116"/>
      <c r="C36" s="116"/>
      <c r="D36" s="118" t="s">
        <v>96</v>
      </c>
    </row>
    <row r="37" spans="1:4" ht="18" customHeight="1" x14ac:dyDescent="0.35">
      <c r="A37" s="7">
        <v>36</v>
      </c>
      <c r="B37" s="116"/>
      <c r="C37" s="116"/>
      <c r="D37" s="118" t="s">
        <v>96</v>
      </c>
    </row>
    <row r="38" spans="1:4" ht="18" customHeight="1" x14ac:dyDescent="0.35">
      <c r="A38" s="7">
        <v>37</v>
      </c>
      <c r="B38" s="116"/>
      <c r="C38" s="116"/>
      <c r="D38" s="118" t="s">
        <v>96</v>
      </c>
    </row>
    <row r="39" spans="1:4" ht="18" customHeight="1" x14ac:dyDescent="0.35">
      <c r="A39" s="7">
        <v>38</v>
      </c>
      <c r="B39" s="116"/>
      <c r="C39" s="116"/>
      <c r="D39" s="118" t="s">
        <v>96</v>
      </c>
    </row>
    <row r="40" spans="1:4" ht="18" customHeight="1" x14ac:dyDescent="0.35">
      <c r="A40" s="7">
        <v>39</v>
      </c>
      <c r="B40" s="116"/>
      <c r="C40" s="116"/>
      <c r="D40" s="118" t="s">
        <v>96</v>
      </c>
    </row>
    <row r="41" spans="1:4" ht="18" customHeight="1" x14ac:dyDescent="0.35">
      <c r="A41" s="7">
        <v>40</v>
      </c>
      <c r="B41" s="116"/>
      <c r="C41" s="116"/>
      <c r="D41" s="118" t="s">
        <v>96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  <pageSetup paperSize="1000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zoomScale="90" zoomScaleNormal="90" workbookViewId="0">
      <selection activeCell="P22" sqref="P2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5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166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279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276</v>
      </c>
      <c r="V1" s="107" t="s">
        <v>277</v>
      </c>
      <c r="W1" s="107" t="s">
        <v>23</v>
      </c>
      <c r="X1" s="107" t="s">
        <v>64</v>
      </c>
      <c r="Y1" s="107" t="s">
        <v>26</v>
      </c>
      <c r="Z1" s="107" t="s">
        <v>278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275</v>
      </c>
      <c r="AO1" s="14" t="s">
        <v>78</v>
      </c>
      <c r="AP1" s="15" t="s">
        <v>143</v>
      </c>
    </row>
    <row r="2" spans="1:42" ht="15.5" x14ac:dyDescent="0.35">
      <c r="A2" s="10">
        <f>'Data Siswa'!A2</f>
        <v>1</v>
      </c>
      <c r="B2" s="77" t="str">
        <f>'Data Siswa'!B2</f>
        <v>AHMAD FARIS</v>
      </c>
      <c r="C2" s="10" t="str">
        <f>'Data Siswa'!C2</f>
        <v>0508</v>
      </c>
      <c r="D2" s="16">
        <v>4</v>
      </c>
      <c r="E2" s="16">
        <v>5</v>
      </c>
      <c r="F2" s="16">
        <v>5</v>
      </c>
      <c r="G2" s="16">
        <v>6</v>
      </c>
      <c r="H2" s="16">
        <v>5</v>
      </c>
      <c r="I2" s="16">
        <v>6.5</v>
      </c>
      <c r="J2" s="16">
        <v>6</v>
      </c>
      <c r="K2" s="16">
        <v>5.5</v>
      </c>
      <c r="L2" s="16">
        <v>7</v>
      </c>
      <c r="M2" s="16">
        <v>8</v>
      </c>
      <c r="N2" s="16">
        <v>6.5</v>
      </c>
      <c r="O2" s="16">
        <v>5</v>
      </c>
      <c r="P2" s="16">
        <v>6</v>
      </c>
      <c r="Q2" s="16">
        <v>6.5</v>
      </c>
      <c r="R2" s="16">
        <v>5</v>
      </c>
      <c r="S2" s="16">
        <v>5</v>
      </c>
      <c r="T2" s="16">
        <v>5</v>
      </c>
      <c r="U2" s="16">
        <v>7.5</v>
      </c>
      <c r="V2" s="16">
        <v>6</v>
      </c>
      <c r="W2" s="16">
        <v>7</v>
      </c>
      <c r="X2" s="16">
        <v>7</v>
      </c>
      <c r="Y2" s="16"/>
      <c r="Z2" s="16">
        <v>4</v>
      </c>
      <c r="AA2" s="16">
        <v>7</v>
      </c>
      <c r="AB2" s="16">
        <v>6</v>
      </c>
      <c r="AC2" s="16">
        <v>8</v>
      </c>
      <c r="AD2" s="16">
        <v>7</v>
      </c>
      <c r="AE2" s="16">
        <v>6</v>
      </c>
      <c r="AF2" s="16">
        <v>6</v>
      </c>
      <c r="AG2" s="16">
        <v>8</v>
      </c>
      <c r="AH2" s="16">
        <v>8</v>
      </c>
      <c r="AI2" s="105"/>
      <c r="AJ2" s="105"/>
      <c r="AK2" s="105"/>
      <c r="AL2" s="16">
        <v>8</v>
      </c>
      <c r="AM2" s="16">
        <v>7.8</v>
      </c>
      <c r="AN2" s="16">
        <v>6</v>
      </c>
      <c r="AO2" s="17">
        <f>SUM(D2:AN2)</f>
        <v>206.3</v>
      </c>
      <c r="AP2" s="65">
        <f>AVERAGE(D2:AN2)</f>
        <v>6.2515151515151519</v>
      </c>
    </row>
    <row r="3" spans="1:42" ht="15.5" x14ac:dyDescent="0.35">
      <c r="A3" s="10">
        <f>'Data Siswa'!A3</f>
        <v>2</v>
      </c>
      <c r="B3" s="77" t="str">
        <f>'Data Siswa'!B3</f>
        <v>AHMAD YAZID ZIDAN</v>
      </c>
      <c r="C3" s="10" t="str">
        <f>'Data Siswa'!C3</f>
        <v>0509</v>
      </c>
      <c r="D3" s="16">
        <v>5</v>
      </c>
      <c r="E3" s="16">
        <v>5.5</v>
      </c>
      <c r="F3" s="16">
        <v>5</v>
      </c>
      <c r="G3" s="16">
        <v>7</v>
      </c>
      <c r="H3" s="16">
        <v>5</v>
      </c>
      <c r="I3" s="16">
        <v>6.5</v>
      </c>
      <c r="J3" s="16">
        <v>5.5</v>
      </c>
      <c r="K3" s="16">
        <v>5.5</v>
      </c>
      <c r="L3" s="16">
        <v>7</v>
      </c>
      <c r="M3" s="16">
        <v>8</v>
      </c>
      <c r="N3" s="16">
        <v>7</v>
      </c>
      <c r="O3" s="16">
        <v>5</v>
      </c>
      <c r="P3" s="16">
        <v>6</v>
      </c>
      <c r="Q3" s="16">
        <v>6</v>
      </c>
      <c r="R3" s="16">
        <v>6</v>
      </c>
      <c r="S3" s="16">
        <v>6</v>
      </c>
      <c r="T3" s="16">
        <v>4</v>
      </c>
      <c r="U3" s="16">
        <v>8</v>
      </c>
      <c r="V3" s="16">
        <v>6</v>
      </c>
      <c r="W3" s="16">
        <v>6</v>
      </c>
      <c r="X3" s="16">
        <v>7</v>
      </c>
      <c r="Y3" s="16"/>
      <c r="Z3" s="16">
        <v>4</v>
      </c>
      <c r="AA3" s="16">
        <v>7</v>
      </c>
      <c r="AB3" s="16">
        <v>6</v>
      </c>
      <c r="AC3" s="16">
        <v>8</v>
      </c>
      <c r="AD3" s="16">
        <v>6.5</v>
      </c>
      <c r="AE3" s="16">
        <v>6</v>
      </c>
      <c r="AF3" s="16">
        <v>6</v>
      </c>
      <c r="AG3" s="16">
        <v>8</v>
      </c>
      <c r="AH3" s="16">
        <v>8</v>
      </c>
      <c r="AI3" s="105"/>
      <c r="AJ3" s="105"/>
      <c r="AK3" s="105"/>
      <c r="AL3" s="16">
        <v>8</v>
      </c>
      <c r="AM3" s="16">
        <v>8</v>
      </c>
      <c r="AN3" s="16">
        <v>6</v>
      </c>
      <c r="AO3" s="17">
        <f t="shared" ref="AO3:AO41" si="0">SUM(D3:AN3)</f>
        <v>208.5</v>
      </c>
      <c r="AP3" s="65">
        <f t="shared" ref="AP3:AP41" si="1">AVERAGE(D3:AN3)</f>
        <v>6.3181818181818183</v>
      </c>
    </row>
    <row r="4" spans="1:42" ht="15.5" x14ac:dyDescent="0.35">
      <c r="A4" s="10">
        <f>'Data Siswa'!A4</f>
        <v>3</v>
      </c>
      <c r="B4" s="77" t="str">
        <f>'Data Siswa'!B4</f>
        <v>ALIEF RAMADHAN BADRI</v>
      </c>
      <c r="C4" s="10" t="str">
        <f>'Data Siswa'!C4</f>
        <v>0510</v>
      </c>
      <c r="D4" s="16">
        <v>7</v>
      </c>
      <c r="E4" s="16">
        <v>7.5</v>
      </c>
      <c r="F4" s="16">
        <v>5</v>
      </c>
      <c r="G4" s="16">
        <v>7</v>
      </c>
      <c r="H4" s="16">
        <v>6.5</v>
      </c>
      <c r="I4" s="16">
        <v>7</v>
      </c>
      <c r="J4" s="16">
        <v>7</v>
      </c>
      <c r="K4" s="16">
        <v>5.5</v>
      </c>
      <c r="L4" s="16">
        <v>7</v>
      </c>
      <c r="M4" s="16">
        <v>8</v>
      </c>
      <c r="N4" s="16">
        <v>8</v>
      </c>
      <c r="O4" s="16">
        <v>7</v>
      </c>
      <c r="P4" s="16">
        <v>7</v>
      </c>
      <c r="Q4" s="16">
        <v>8</v>
      </c>
      <c r="R4" s="16">
        <v>7</v>
      </c>
      <c r="S4" s="16">
        <v>6.5</v>
      </c>
      <c r="T4" s="16">
        <v>8</v>
      </c>
      <c r="U4" s="16">
        <v>8</v>
      </c>
      <c r="V4" s="16">
        <v>6</v>
      </c>
      <c r="W4" s="16">
        <v>7</v>
      </c>
      <c r="X4" s="16">
        <v>7</v>
      </c>
      <c r="Y4" s="16"/>
      <c r="Z4" s="16">
        <v>4</v>
      </c>
      <c r="AA4" s="16">
        <v>7</v>
      </c>
      <c r="AB4" s="16">
        <v>7</v>
      </c>
      <c r="AC4" s="16">
        <v>7.5</v>
      </c>
      <c r="AD4" s="16">
        <v>6.5</v>
      </c>
      <c r="AE4" s="16">
        <v>6</v>
      </c>
      <c r="AF4" s="16">
        <v>6</v>
      </c>
      <c r="AG4" s="16">
        <v>8</v>
      </c>
      <c r="AH4" s="16">
        <v>8</v>
      </c>
      <c r="AI4" s="105"/>
      <c r="AJ4" s="105"/>
      <c r="AK4" s="105"/>
      <c r="AL4" s="16">
        <v>8</v>
      </c>
      <c r="AM4" s="16">
        <v>8</v>
      </c>
      <c r="AN4" s="16">
        <v>6</v>
      </c>
      <c r="AO4" s="17">
        <f t="shared" si="0"/>
        <v>229</v>
      </c>
      <c r="AP4" s="65">
        <f t="shared" si="1"/>
        <v>6.9393939393939394</v>
      </c>
    </row>
    <row r="5" spans="1:42" ht="15.5" x14ac:dyDescent="0.35">
      <c r="A5" s="10">
        <f>'Data Siswa'!A5</f>
        <v>4</v>
      </c>
      <c r="B5" s="77" t="str">
        <f>'Data Siswa'!B5</f>
        <v>ALWI RISFALDI</v>
      </c>
      <c r="C5" s="10" t="str">
        <f>'Data Siswa'!C5</f>
        <v>0511</v>
      </c>
      <c r="D5" s="16">
        <v>4.5</v>
      </c>
      <c r="E5" s="16">
        <v>7.5</v>
      </c>
      <c r="F5" s="16">
        <v>5</v>
      </c>
      <c r="G5" s="16">
        <v>7</v>
      </c>
      <c r="H5" s="16">
        <v>4.5</v>
      </c>
      <c r="I5" s="16">
        <v>6</v>
      </c>
      <c r="J5" s="16">
        <v>6</v>
      </c>
      <c r="K5" s="16">
        <v>5.5</v>
      </c>
      <c r="L5" s="16">
        <v>7</v>
      </c>
      <c r="M5" s="16">
        <v>8</v>
      </c>
      <c r="N5" s="16">
        <v>8</v>
      </c>
      <c r="O5" s="16">
        <v>5.5</v>
      </c>
      <c r="P5" s="16">
        <v>6</v>
      </c>
      <c r="Q5" s="16">
        <v>7</v>
      </c>
      <c r="R5" s="16">
        <v>6</v>
      </c>
      <c r="S5" s="16">
        <v>6</v>
      </c>
      <c r="T5" s="16">
        <v>8</v>
      </c>
      <c r="U5" s="16">
        <v>8</v>
      </c>
      <c r="V5" s="16">
        <v>6</v>
      </c>
      <c r="W5" s="16">
        <v>6</v>
      </c>
      <c r="X5" s="16">
        <v>7</v>
      </c>
      <c r="Y5" s="16"/>
      <c r="Z5" s="16">
        <v>4</v>
      </c>
      <c r="AA5" s="16">
        <v>7</v>
      </c>
      <c r="AB5" s="16">
        <v>6</v>
      </c>
      <c r="AC5" s="16">
        <v>7.5</v>
      </c>
      <c r="AD5" s="16">
        <v>6.5</v>
      </c>
      <c r="AE5" s="16">
        <v>6</v>
      </c>
      <c r="AF5" s="16">
        <v>6</v>
      </c>
      <c r="AG5" s="16">
        <v>8</v>
      </c>
      <c r="AH5" s="16">
        <v>8</v>
      </c>
      <c r="AI5" s="105"/>
      <c r="AJ5" s="105"/>
      <c r="AK5" s="105"/>
      <c r="AL5" s="16">
        <v>8</v>
      </c>
      <c r="AM5" s="16">
        <v>8.1999999999999993</v>
      </c>
      <c r="AN5" s="16">
        <v>6</v>
      </c>
      <c r="AO5" s="17">
        <f t="shared" si="0"/>
        <v>215.7</v>
      </c>
      <c r="AP5" s="65">
        <f t="shared" si="1"/>
        <v>6.5363636363636362</v>
      </c>
    </row>
    <row r="6" spans="1:42" ht="15.5" x14ac:dyDescent="0.35">
      <c r="A6" s="10">
        <f>'Data Siswa'!A6</f>
        <v>5</v>
      </c>
      <c r="B6" s="77" t="str">
        <f>'Data Siswa'!B6</f>
        <v>DAIVA WAHYU AJI ARDIAN</v>
      </c>
      <c r="C6" s="10" t="str">
        <f>'Data Siswa'!C6</f>
        <v>0512</v>
      </c>
      <c r="D6" s="16">
        <v>4</v>
      </c>
      <c r="E6" s="16">
        <v>5.5</v>
      </c>
      <c r="F6" s="16">
        <v>5</v>
      </c>
      <c r="G6" s="16">
        <v>8</v>
      </c>
      <c r="H6" s="16">
        <v>4</v>
      </c>
      <c r="I6" s="16">
        <v>6</v>
      </c>
      <c r="J6" s="16">
        <v>6</v>
      </c>
      <c r="K6" s="16">
        <v>5</v>
      </c>
      <c r="L6" s="16">
        <v>7</v>
      </c>
      <c r="M6" s="16">
        <v>8</v>
      </c>
      <c r="N6" s="16">
        <v>5</v>
      </c>
      <c r="O6" s="16">
        <v>5</v>
      </c>
      <c r="P6" s="16">
        <v>5</v>
      </c>
      <c r="Q6" s="16">
        <v>6</v>
      </c>
      <c r="R6" s="16">
        <v>5</v>
      </c>
      <c r="S6" s="16">
        <v>6.5</v>
      </c>
      <c r="T6" s="16">
        <v>6</v>
      </c>
      <c r="U6" s="16">
        <v>8</v>
      </c>
      <c r="V6" s="16">
        <v>6</v>
      </c>
      <c r="W6" s="16">
        <v>6</v>
      </c>
      <c r="X6" s="16">
        <v>7</v>
      </c>
      <c r="Y6" s="16"/>
      <c r="Z6" s="16">
        <v>4</v>
      </c>
      <c r="AA6" s="16">
        <v>7</v>
      </c>
      <c r="AB6" s="16">
        <v>7</v>
      </c>
      <c r="AC6" s="16">
        <v>8</v>
      </c>
      <c r="AD6" s="16">
        <v>6.5</v>
      </c>
      <c r="AE6" s="16">
        <v>5</v>
      </c>
      <c r="AF6" s="16">
        <v>6</v>
      </c>
      <c r="AG6" s="16">
        <v>8</v>
      </c>
      <c r="AH6" s="16">
        <v>8</v>
      </c>
      <c r="AI6" s="105"/>
      <c r="AJ6" s="105"/>
      <c r="AK6" s="105"/>
      <c r="AL6" s="16">
        <v>8</v>
      </c>
      <c r="AM6" s="16">
        <v>7.5</v>
      </c>
      <c r="AN6" s="16">
        <v>6</v>
      </c>
      <c r="AO6" s="17">
        <f t="shared" si="0"/>
        <v>205</v>
      </c>
      <c r="AP6" s="65">
        <f t="shared" si="1"/>
        <v>6.2121212121212119</v>
      </c>
    </row>
    <row r="7" spans="1:42" ht="15.5" x14ac:dyDescent="0.35">
      <c r="A7" s="10">
        <f>'Data Siswa'!A7</f>
        <v>6</v>
      </c>
      <c r="B7" s="77" t="str">
        <f>'Data Siswa'!B7</f>
        <v>FALIH KHAIRAN AL GHANI</v>
      </c>
      <c r="C7" s="10" t="str">
        <f>'Data Siswa'!C7</f>
        <v>0513</v>
      </c>
      <c r="D7" s="16">
        <v>4.5</v>
      </c>
      <c r="E7" s="16">
        <v>4.5</v>
      </c>
      <c r="F7" s="16">
        <v>5</v>
      </c>
      <c r="G7" s="16">
        <v>7</v>
      </c>
      <c r="H7" s="16">
        <v>5</v>
      </c>
      <c r="I7" s="16">
        <v>6</v>
      </c>
      <c r="J7" s="16">
        <v>5.5</v>
      </c>
      <c r="K7" s="16">
        <v>5</v>
      </c>
      <c r="L7" s="16">
        <v>7</v>
      </c>
      <c r="M7" s="16">
        <v>8</v>
      </c>
      <c r="N7" s="16">
        <v>5</v>
      </c>
      <c r="O7" s="16">
        <v>5</v>
      </c>
      <c r="P7" s="16">
        <v>5</v>
      </c>
      <c r="Q7" s="16">
        <v>6</v>
      </c>
      <c r="R7" s="16">
        <v>5</v>
      </c>
      <c r="S7" s="16">
        <v>4.5</v>
      </c>
      <c r="T7" s="16">
        <v>4</v>
      </c>
      <c r="U7" s="16">
        <v>8</v>
      </c>
      <c r="V7" s="16">
        <v>5</v>
      </c>
      <c r="W7" s="16">
        <v>7</v>
      </c>
      <c r="X7" s="16">
        <v>7</v>
      </c>
      <c r="Y7" s="16"/>
      <c r="Z7" s="16">
        <v>4</v>
      </c>
      <c r="AA7" s="16">
        <v>7</v>
      </c>
      <c r="AB7" s="16">
        <v>6</v>
      </c>
      <c r="AC7" s="16">
        <v>7.5</v>
      </c>
      <c r="AD7" s="16">
        <v>6.5</v>
      </c>
      <c r="AE7" s="16">
        <v>6</v>
      </c>
      <c r="AF7" s="16">
        <v>6</v>
      </c>
      <c r="AG7" s="16">
        <v>8</v>
      </c>
      <c r="AH7" s="16">
        <v>8</v>
      </c>
      <c r="AI7" s="105"/>
      <c r="AJ7" s="105"/>
      <c r="AK7" s="105"/>
      <c r="AL7" s="16">
        <v>8</v>
      </c>
      <c r="AM7" s="16">
        <v>7.8</v>
      </c>
      <c r="AN7" s="16">
        <v>6</v>
      </c>
      <c r="AO7" s="17">
        <f t="shared" si="0"/>
        <v>199.8</v>
      </c>
      <c r="AP7" s="65">
        <f t="shared" si="1"/>
        <v>6.0545454545454547</v>
      </c>
    </row>
    <row r="8" spans="1:42" ht="15.5" x14ac:dyDescent="0.35">
      <c r="A8" s="10">
        <f>'Data Siswa'!A8</f>
        <v>7</v>
      </c>
      <c r="B8" s="77" t="str">
        <f>'Data Siswa'!B8</f>
        <v>KHOLIL IBRAHIM</v>
      </c>
      <c r="C8" s="10" t="str">
        <f>'Data Siswa'!C8</f>
        <v>0514</v>
      </c>
      <c r="D8" s="16">
        <v>4.5</v>
      </c>
      <c r="E8" s="16">
        <v>5.5</v>
      </c>
      <c r="F8" s="16">
        <v>5.5</v>
      </c>
      <c r="G8" s="16">
        <v>7</v>
      </c>
      <c r="H8" s="16">
        <v>4.5</v>
      </c>
      <c r="I8" s="16">
        <v>5</v>
      </c>
      <c r="J8" s="16">
        <v>6</v>
      </c>
      <c r="K8" s="16">
        <v>5</v>
      </c>
      <c r="L8" s="16">
        <v>7</v>
      </c>
      <c r="M8" s="16">
        <v>7.5</v>
      </c>
      <c r="N8" s="16">
        <v>5.5</v>
      </c>
      <c r="O8" s="16">
        <v>4</v>
      </c>
      <c r="P8" s="16">
        <v>6</v>
      </c>
      <c r="Q8" s="16">
        <v>6</v>
      </c>
      <c r="R8" s="16">
        <v>5</v>
      </c>
      <c r="S8" s="16">
        <v>6.5</v>
      </c>
      <c r="T8" s="16">
        <v>6.5</v>
      </c>
      <c r="U8" s="16">
        <v>7</v>
      </c>
      <c r="V8" s="16">
        <v>4.5</v>
      </c>
      <c r="W8" s="16">
        <v>6</v>
      </c>
      <c r="X8" s="16">
        <v>7</v>
      </c>
      <c r="Y8" s="16"/>
      <c r="Z8" s="16">
        <v>4</v>
      </c>
      <c r="AA8" s="16">
        <v>7</v>
      </c>
      <c r="AB8" s="16">
        <v>6</v>
      </c>
      <c r="AC8" s="16">
        <v>7.5</v>
      </c>
      <c r="AD8" s="16">
        <v>7.5</v>
      </c>
      <c r="AE8" s="16">
        <v>6</v>
      </c>
      <c r="AF8" s="16">
        <v>6</v>
      </c>
      <c r="AG8" s="16">
        <v>8</v>
      </c>
      <c r="AH8" s="16">
        <v>8</v>
      </c>
      <c r="AI8" s="105"/>
      <c r="AJ8" s="105"/>
      <c r="AK8" s="105"/>
      <c r="AL8" s="16">
        <v>8</v>
      </c>
      <c r="AM8" s="16">
        <v>8</v>
      </c>
      <c r="AN8" s="16">
        <v>6</v>
      </c>
      <c r="AO8" s="17">
        <f t="shared" si="0"/>
        <v>203.5</v>
      </c>
      <c r="AP8" s="65">
        <f t="shared" si="1"/>
        <v>6.166666666666667</v>
      </c>
    </row>
    <row r="9" spans="1:42" ht="15.5" x14ac:dyDescent="0.35">
      <c r="A9" s="10">
        <f>'Data Siswa'!A9</f>
        <v>8</v>
      </c>
      <c r="B9" s="77" t="str">
        <f>'Data Siswa'!B9</f>
        <v>MUHAMAD IRFAN HABIB AL JAUHAR</v>
      </c>
      <c r="C9" s="10" t="str">
        <f>'Data Siswa'!C9</f>
        <v>0515</v>
      </c>
      <c r="D9" s="16">
        <v>4.5</v>
      </c>
      <c r="E9" s="16">
        <v>5</v>
      </c>
      <c r="F9" s="16">
        <v>5</v>
      </c>
      <c r="G9" s="16">
        <v>7</v>
      </c>
      <c r="H9" s="16">
        <v>4</v>
      </c>
      <c r="I9" s="16">
        <v>6.5</v>
      </c>
      <c r="J9" s="16">
        <v>6</v>
      </c>
      <c r="K9" s="16">
        <v>5</v>
      </c>
      <c r="L9" s="16">
        <v>7</v>
      </c>
      <c r="M9" s="16">
        <v>8</v>
      </c>
      <c r="N9" s="16">
        <v>7.5</v>
      </c>
      <c r="O9" s="16">
        <v>5</v>
      </c>
      <c r="P9" s="16">
        <v>5</v>
      </c>
      <c r="Q9" s="16">
        <v>8</v>
      </c>
      <c r="R9" s="16">
        <v>6</v>
      </c>
      <c r="S9" s="16">
        <v>6</v>
      </c>
      <c r="T9" s="16">
        <v>5.5</v>
      </c>
      <c r="U9" s="16">
        <v>8</v>
      </c>
      <c r="V9" s="16">
        <v>6</v>
      </c>
      <c r="W9" s="16">
        <v>7</v>
      </c>
      <c r="X9" s="16">
        <v>7</v>
      </c>
      <c r="Y9" s="16"/>
      <c r="Z9" s="16">
        <v>4</v>
      </c>
      <c r="AA9" s="16">
        <v>7</v>
      </c>
      <c r="AB9" s="16">
        <v>7</v>
      </c>
      <c r="AC9" s="16">
        <v>8</v>
      </c>
      <c r="AD9" s="16">
        <v>6</v>
      </c>
      <c r="AE9" s="16">
        <v>6</v>
      </c>
      <c r="AF9" s="16">
        <v>6</v>
      </c>
      <c r="AG9" s="16">
        <v>8</v>
      </c>
      <c r="AH9" s="16">
        <v>8</v>
      </c>
      <c r="AI9" s="105"/>
      <c r="AJ9" s="105"/>
      <c r="AK9" s="105"/>
      <c r="AL9" s="16">
        <v>8</v>
      </c>
      <c r="AM9" s="16">
        <v>8.4</v>
      </c>
      <c r="AN9" s="16">
        <v>6</v>
      </c>
      <c r="AO9" s="17">
        <f t="shared" si="0"/>
        <v>211.4</v>
      </c>
      <c r="AP9" s="65">
        <f t="shared" si="1"/>
        <v>6.4060606060606062</v>
      </c>
    </row>
    <row r="10" spans="1:42" ht="15.5" x14ac:dyDescent="0.35">
      <c r="A10" s="10">
        <f>'Data Siswa'!A10</f>
        <v>9</v>
      </c>
      <c r="B10" s="77" t="str">
        <f>'Data Siswa'!B10</f>
        <v>MUHAMAD IRSAN APRIANSYAH</v>
      </c>
      <c r="C10" s="10" t="str">
        <f>'Data Siswa'!C10</f>
        <v>0516</v>
      </c>
      <c r="D10" s="16">
        <v>5</v>
      </c>
      <c r="E10" s="16">
        <v>6</v>
      </c>
      <c r="F10" s="16">
        <v>5.5</v>
      </c>
      <c r="G10" s="16">
        <v>6.5</v>
      </c>
      <c r="H10" s="16">
        <v>5</v>
      </c>
      <c r="I10" s="16">
        <v>6</v>
      </c>
      <c r="J10" s="16">
        <v>6</v>
      </c>
      <c r="K10" s="16">
        <v>5</v>
      </c>
      <c r="L10" s="16">
        <v>7</v>
      </c>
      <c r="M10" s="16">
        <v>7.5</v>
      </c>
      <c r="N10" s="16">
        <v>8</v>
      </c>
      <c r="O10" s="16">
        <v>5</v>
      </c>
      <c r="P10" s="16">
        <v>5</v>
      </c>
      <c r="Q10" s="16">
        <v>7</v>
      </c>
      <c r="R10" s="16">
        <v>6</v>
      </c>
      <c r="S10" s="16">
        <v>6</v>
      </c>
      <c r="T10" s="16">
        <v>8</v>
      </c>
      <c r="U10" s="16">
        <v>8</v>
      </c>
      <c r="V10" s="16">
        <v>5</v>
      </c>
      <c r="W10" s="16">
        <v>6</v>
      </c>
      <c r="X10" s="16">
        <v>7</v>
      </c>
      <c r="Y10" s="16"/>
      <c r="Z10" s="16">
        <v>4.5</v>
      </c>
      <c r="AA10" s="16">
        <v>7</v>
      </c>
      <c r="AB10" s="16">
        <v>6</v>
      </c>
      <c r="AC10" s="16">
        <v>8</v>
      </c>
      <c r="AD10" s="16">
        <v>6</v>
      </c>
      <c r="AE10" s="16">
        <v>6</v>
      </c>
      <c r="AF10" s="16">
        <v>6</v>
      </c>
      <c r="AG10" s="16">
        <v>8</v>
      </c>
      <c r="AH10" s="16">
        <v>8</v>
      </c>
      <c r="AI10" s="105"/>
      <c r="AJ10" s="105"/>
      <c r="AK10" s="105"/>
      <c r="AL10" s="16">
        <v>8</v>
      </c>
      <c r="AM10" s="16">
        <v>8</v>
      </c>
      <c r="AN10" s="16">
        <v>6</v>
      </c>
      <c r="AO10" s="17">
        <f t="shared" si="0"/>
        <v>212</v>
      </c>
      <c r="AP10" s="65">
        <f t="shared" si="1"/>
        <v>6.4242424242424239</v>
      </c>
    </row>
    <row r="11" spans="1:42" ht="15.5" x14ac:dyDescent="0.35">
      <c r="A11" s="10">
        <f>'Data Siswa'!A11</f>
        <v>10</v>
      </c>
      <c r="B11" s="77" t="str">
        <f>'Data Siswa'!B11</f>
        <v>MUHAMAD ZIDAN BAWAZIER</v>
      </c>
      <c r="C11" s="10" t="str">
        <f>'Data Siswa'!C11</f>
        <v>0517</v>
      </c>
      <c r="D11" s="16">
        <v>5</v>
      </c>
      <c r="E11" s="16">
        <v>8</v>
      </c>
      <c r="F11" s="16">
        <v>5.5</v>
      </c>
      <c r="G11" s="16">
        <v>6.5</v>
      </c>
      <c r="H11" s="16">
        <v>7</v>
      </c>
      <c r="I11" s="16">
        <v>6.5</v>
      </c>
      <c r="J11" s="16">
        <v>7</v>
      </c>
      <c r="K11" s="16">
        <v>5</v>
      </c>
      <c r="L11" s="16">
        <v>7</v>
      </c>
      <c r="M11" s="16">
        <v>9</v>
      </c>
      <c r="N11" s="16">
        <v>8</v>
      </c>
      <c r="O11" s="16">
        <v>6</v>
      </c>
      <c r="P11" s="16">
        <v>6</v>
      </c>
      <c r="Q11" s="16">
        <v>8</v>
      </c>
      <c r="R11" s="16">
        <v>6</v>
      </c>
      <c r="S11" s="16">
        <v>7</v>
      </c>
      <c r="T11" s="16">
        <v>7</v>
      </c>
      <c r="U11" s="16">
        <v>8</v>
      </c>
      <c r="V11" s="16">
        <v>6.5</v>
      </c>
      <c r="W11" s="16">
        <v>7</v>
      </c>
      <c r="X11" s="16">
        <v>7</v>
      </c>
      <c r="Y11" s="16"/>
      <c r="Z11" s="16">
        <v>6.5</v>
      </c>
      <c r="AA11" s="16">
        <v>7</v>
      </c>
      <c r="AB11" s="16">
        <v>7</v>
      </c>
      <c r="AC11" s="16">
        <v>7.5</v>
      </c>
      <c r="AD11" s="16">
        <v>6.5</v>
      </c>
      <c r="AE11" s="16">
        <v>6</v>
      </c>
      <c r="AF11" s="16">
        <v>6</v>
      </c>
      <c r="AG11" s="16">
        <v>8</v>
      </c>
      <c r="AH11" s="16">
        <v>8</v>
      </c>
      <c r="AI11" s="105"/>
      <c r="AJ11" s="105"/>
      <c r="AK11" s="105"/>
      <c r="AL11" s="16">
        <v>8</v>
      </c>
      <c r="AM11" s="16">
        <v>8.5</v>
      </c>
      <c r="AN11" s="16">
        <v>6</v>
      </c>
      <c r="AO11" s="17">
        <f t="shared" si="0"/>
        <v>228</v>
      </c>
      <c r="AP11" s="65">
        <f t="shared" si="1"/>
        <v>6.9090909090909092</v>
      </c>
    </row>
    <row r="12" spans="1:42" ht="15.5" x14ac:dyDescent="0.35">
      <c r="A12" s="10">
        <f>'Data Siswa'!A12</f>
        <v>11</v>
      </c>
      <c r="B12" s="77" t="str">
        <f>'Data Siswa'!B12</f>
        <v>MUHAMMAD DZAKY ARYA PRATAMA</v>
      </c>
      <c r="C12" s="10" t="str">
        <f>'Data Siswa'!C12</f>
        <v>0518</v>
      </c>
      <c r="D12" s="16">
        <v>5</v>
      </c>
      <c r="E12" s="16">
        <v>8</v>
      </c>
      <c r="F12" s="16">
        <v>5</v>
      </c>
      <c r="G12" s="16">
        <v>6</v>
      </c>
      <c r="H12" s="16">
        <v>4</v>
      </c>
      <c r="I12" s="16">
        <v>6</v>
      </c>
      <c r="J12" s="16">
        <v>7</v>
      </c>
      <c r="K12" s="16">
        <v>5.5</v>
      </c>
      <c r="L12" s="16">
        <v>7</v>
      </c>
      <c r="M12" s="16">
        <v>8</v>
      </c>
      <c r="N12" s="16">
        <v>7</v>
      </c>
      <c r="O12" s="16">
        <v>5</v>
      </c>
      <c r="P12" s="16">
        <v>6</v>
      </c>
      <c r="Q12" s="16">
        <v>7.5</v>
      </c>
      <c r="R12" s="16">
        <v>5</v>
      </c>
      <c r="S12" s="16">
        <v>7</v>
      </c>
      <c r="T12" s="16">
        <v>8</v>
      </c>
      <c r="U12" s="16">
        <v>8</v>
      </c>
      <c r="V12" s="16">
        <v>6</v>
      </c>
      <c r="W12" s="16">
        <v>7</v>
      </c>
      <c r="X12" s="16">
        <v>7</v>
      </c>
      <c r="Y12" s="16"/>
      <c r="Z12" s="16">
        <v>6</v>
      </c>
      <c r="AA12" s="16">
        <v>7</v>
      </c>
      <c r="AB12" s="16">
        <v>7</v>
      </c>
      <c r="AC12" s="16">
        <v>7.5</v>
      </c>
      <c r="AD12" s="16">
        <v>6</v>
      </c>
      <c r="AE12" s="16">
        <v>6</v>
      </c>
      <c r="AF12" s="16">
        <v>6</v>
      </c>
      <c r="AG12" s="16">
        <v>8</v>
      </c>
      <c r="AH12" s="16">
        <v>8</v>
      </c>
      <c r="AI12" s="105"/>
      <c r="AJ12" s="105"/>
      <c r="AK12" s="105"/>
      <c r="AL12" s="16">
        <v>8</v>
      </c>
      <c r="AM12" s="16">
        <v>8.1999999999999993</v>
      </c>
      <c r="AN12" s="16">
        <v>6</v>
      </c>
      <c r="AO12" s="17">
        <f t="shared" si="0"/>
        <v>218.7</v>
      </c>
      <c r="AP12" s="65">
        <f t="shared" si="1"/>
        <v>6.627272727272727</v>
      </c>
    </row>
    <row r="13" spans="1:42" ht="15.5" x14ac:dyDescent="0.35">
      <c r="A13" s="10">
        <f>'Data Siswa'!A13</f>
        <v>12</v>
      </c>
      <c r="B13" s="77" t="str">
        <f>'Data Siswa'!B13</f>
        <v>MUHAMMAD LUCKY LUKMAN</v>
      </c>
      <c r="C13" s="10" t="str">
        <f>'Data Siswa'!C13</f>
        <v>0519</v>
      </c>
      <c r="D13" s="16">
        <v>7.5</v>
      </c>
      <c r="E13" s="16">
        <v>8</v>
      </c>
      <c r="F13" s="16">
        <v>6.5</v>
      </c>
      <c r="G13" s="16">
        <v>8</v>
      </c>
      <c r="H13" s="16">
        <v>8</v>
      </c>
      <c r="I13" s="16">
        <v>8</v>
      </c>
      <c r="J13" s="16">
        <v>7</v>
      </c>
      <c r="K13" s="16">
        <v>6.5</v>
      </c>
      <c r="L13" s="16">
        <v>7</v>
      </c>
      <c r="M13" s="16">
        <v>8.5</v>
      </c>
      <c r="N13" s="16">
        <v>8</v>
      </c>
      <c r="O13" s="16">
        <v>8</v>
      </c>
      <c r="P13" s="16">
        <v>7</v>
      </c>
      <c r="Q13" s="16">
        <v>8</v>
      </c>
      <c r="R13" s="16">
        <v>8</v>
      </c>
      <c r="S13" s="16">
        <v>7</v>
      </c>
      <c r="T13" s="16">
        <v>8</v>
      </c>
      <c r="U13" s="16">
        <v>8</v>
      </c>
      <c r="V13" s="16">
        <v>7</v>
      </c>
      <c r="W13" s="16">
        <v>7</v>
      </c>
      <c r="X13" s="16">
        <v>7</v>
      </c>
      <c r="Y13" s="16"/>
      <c r="Z13" s="16">
        <v>6.5</v>
      </c>
      <c r="AA13" s="16">
        <v>7</v>
      </c>
      <c r="AB13" s="16">
        <v>7</v>
      </c>
      <c r="AC13" s="16">
        <v>8</v>
      </c>
      <c r="AD13" s="16">
        <v>7.5</v>
      </c>
      <c r="AE13" s="16">
        <v>6</v>
      </c>
      <c r="AF13" s="16">
        <v>7</v>
      </c>
      <c r="AG13" s="16">
        <v>8</v>
      </c>
      <c r="AH13" s="16">
        <v>8</v>
      </c>
      <c r="AI13" s="105"/>
      <c r="AJ13" s="105"/>
      <c r="AK13" s="105"/>
      <c r="AL13" s="16">
        <v>8</v>
      </c>
      <c r="AM13" s="16">
        <v>8.6999999999999993</v>
      </c>
      <c r="AN13" s="16">
        <v>7</v>
      </c>
      <c r="AO13" s="17">
        <f t="shared" si="0"/>
        <v>246.7</v>
      </c>
      <c r="AP13" s="65">
        <f t="shared" si="1"/>
        <v>7.4757575757575756</v>
      </c>
    </row>
    <row r="14" spans="1:42" ht="15.5" x14ac:dyDescent="0.35">
      <c r="A14" s="10">
        <f>'Data Siswa'!A14</f>
        <v>13</v>
      </c>
      <c r="B14" s="77" t="str">
        <f>'Data Siswa'!B14</f>
        <v>MUHAMMAD NUFRIZAL</v>
      </c>
      <c r="C14" s="10" t="str">
        <f>'Data Siswa'!C14</f>
        <v>0520</v>
      </c>
      <c r="D14" s="16">
        <v>4.5</v>
      </c>
      <c r="E14" s="16">
        <v>6</v>
      </c>
      <c r="F14" s="16">
        <v>5.5</v>
      </c>
      <c r="G14" s="16">
        <v>6</v>
      </c>
      <c r="H14" s="16">
        <v>4</v>
      </c>
      <c r="I14" s="16">
        <v>6</v>
      </c>
      <c r="J14" s="16">
        <v>6</v>
      </c>
      <c r="K14" s="16">
        <v>5</v>
      </c>
      <c r="L14" s="16">
        <v>7</v>
      </c>
      <c r="M14" s="16">
        <v>8</v>
      </c>
      <c r="N14" s="16">
        <v>8</v>
      </c>
      <c r="O14" s="16">
        <v>5</v>
      </c>
      <c r="P14" s="16">
        <v>6</v>
      </c>
      <c r="Q14" s="16">
        <v>6</v>
      </c>
      <c r="R14" s="16">
        <v>5</v>
      </c>
      <c r="S14" s="16">
        <v>6</v>
      </c>
      <c r="T14" s="16">
        <v>7</v>
      </c>
      <c r="U14" s="16">
        <v>7.5</v>
      </c>
      <c r="V14" s="16">
        <v>5.5</v>
      </c>
      <c r="W14" s="16">
        <v>6</v>
      </c>
      <c r="X14" s="16">
        <v>7</v>
      </c>
      <c r="Y14" s="16"/>
      <c r="Z14" s="16">
        <v>4</v>
      </c>
      <c r="AA14" s="16">
        <v>7</v>
      </c>
      <c r="AB14" s="16">
        <v>6</v>
      </c>
      <c r="AC14" s="16">
        <v>7.5</v>
      </c>
      <c r="AD14" s="16">
        <v>5.5</v>
      </c>
      <c r="AE14" s="16">
        <v>5</v>
      </c>
      <c r="AF14" s="16">
        <v>6</v>
      </c>
      <c r="AG14" s="16">
        <v>8</v>
      </c>
      <c r="AH14" s="16">
        <v>8</v>
      </c>
      <c r="AI14" s="105"/>
      <c r="AJ14" s="105"/>
      <c r="AK14" s="105"/>
      <c r="AL14" s="16">
        <v>8</v>
      </c>
      <c r="AM14" s="16">
        <v>7.8</v>
      </c>
      <c r="AN14" s="16">
        <v>6</v>
      </c>
      <c r="AO14" s="17">
        <f t="shared" si="0"/>
        <v>205.8</v>
      </c>
      <c r="AP14" s="65">
        <f t="shared" si="1"/>
        <v>6.2363636363636363</v>
      </c>
    </row>
    <row r="15" spans="1:42" ht="15.5" x14ac:dyDescent="0.35">
      <c r="A15" s="10">
        <f>'Data Siswa'!A15</f>
        <v>14</v>
      </c>
      <c r="B15" s="77" t="str">
        <f>'Data Siswa'!B15</f>
        <v>MUHAMMAD RIZKI RAMADHANI</v>
      </c>
      <c r="C15" s="10" t="str">
        <f>'Data Siswa'!C15</f>
        <v>0521</v>
      </c>
      <c r="D15" s="16">
        <v>4</v>
      </c>
      <c r="E15" s="16">
        <v>6.5</v>
      </c>
      <c r="F15" s="16">
        <v>5</v>
      </c>
      <c r="G15" s="16">
        <v>7</v>
      </c>
      <c r="H15" s="16">
        <v>4.5</v>
      </c>
      <c r="I15" s="16">
        <v>6</v>
      </c>
      <c r="J15" s="16">
        <v>6</v>
      </c>
      <c r="K15" s="16">
        <v>6</v>
      </c>
      <c r="L15" s="16">
        <v>7</v>
      </c>
      <c r="M15" s="16">
        <v>8</v>
      </c>
      <c r="N15" s="16">
        <v>7.5</v>
      </c>
      <c r="O15" s="16">
        <v>5</v>
      </c>
      <c r="P15" s="16">
        <v>5</v>
      </c>
      <c r="Q15" s="16">
        <v>5</v>
      </c>
      <c r="R15" s="16">
        <v>5</v>
      </c>
      <c r="S15" s="16">
        <v>6</v>
      </c>
      <c r="T15" s="16">
        <v>4</v>
      </c>
      <c r="U15" s="16">
        <v>7.5</v>
      </c>
      <c r="V15" s="16">
        <v>5.5</v>
      </c>
      <c r="W15" s="16">
        <v>6</v>
      </c>
      <c r="X15" s="16">
        <v>7</v>
      </c>
      <c r="Y15" s="16"/>
      <c r="Z15" s="16">
        <v>4</v>
      </c>
      <c r="AA15" s="16">
        <v>7</v>
      </c>
      <c r="AB15" s="16">
        <v>6</v>
      </c>
      <c r="AC15" s="16">
        <v>7.5</v>
      </c>
      <c r="AD15" s="16">
        <v>5.5</v>
      </c>
      <c r="AE15" s="16">
        <v>6</v>
      </c>
      <c r="AF15" s="16">
        <v>6</v>
      </c>
      <c r="AG15" s="16">
        <v>8</v>
      </c>
      <c r="AH15" s="16">
        <v>8</v>
      </c>
      <c r="AI15" s="105"/>
      <c r="AJ15" s="105"/>
      <c r="AK15" s="105"/>
      <c r="AL15" s="16">
        <v>8</v>
      </c>
      <c r="AM15" s="16">
        <v>8.1999999999999993</v>
      </c>
      <c r="AN15" s="16">
        <v>6</v>
      </c>
      <c r="AO15" s="17">
        <f t="shared" si="0"/>
        <v>203.7</v>
      </c>
      <c r="AP15" s="65">
        <f t="shared" si="1"/>
        <v>6.172727272727272</v>
      </c>
    </row>
    <row r="16" spans="1:42" ht="15.5" x14ac:dyDescent="0.35">
      <c r="A16" s="10">
        <f>'Data Siswa'!A16</f>
        <v>15</v>
      </c>
      <c r="B16" s="77" t="str">
        <f>'Data Siswa'!B16</f>
        <v>MUHAMMAD ZAKI ALGIFARI</v>
      </c>
      <c r="C16" s="10" t="str">
        <f>'Data Siswa'!C16</f>
        <v>0522</v>
      </c>
      <c r="D16" s="16">
        <v>6.5</v>
      </c>
      <c r="E16" s="16">
        <v>7.5</v>
      </c>
      <c r="F16" s="16">
        <v>5</v>
      </c>
      <c r="G16" s="16">
        <v>8</v>
      </c>
      <c r="H16" s="16">
        <v>7</v>
      </c>
      <c r="I16" s="16">
        <v>6</v>
      </c>
      <c r="J16" s="16">
        <v>7</v>
      </c>
      <c r="K16" s="16">
        <v>5.5</v>
      </c>
      <c r="L16" s="16">
        <v>7</v>
      </c>
      <c r="M16" s="16">
        <v>9</v>
      </c>
      <c r="N16" s="16">
        <v>8</v>
      </c>
      <c r="O16" s="16">
        <v>8</v>
      </c>
      <c r="P16" s="16">
        <v>5.5</v>
      </c>
      <c r="Q16" s="16">
        <v>6</v>
      </c>
      <c r="R16" s="16">
        <v>7</v>
      </c>
      <c r="S16" s="16">
        <v>8</v>
      </c>
      <c r="T16" s="16">
        <v>7.5</v>
      </c>
      <c r="U16" s="16">
        <v>8</v>
      </c>
      <c r="V16" s="16">
        <v>6</v>
      </c>
      <c r="W16" s="16">
        <v>7</v>
      </c>
      <c r="X16" s="16">
        <v>7</v>
      </c>
      <c r="Y16" s="16"/>
      <c r="Z16" s="16">
        <v>6</v>
      </c>
      <c r="AA16" s="16">
        <v>7</v>
      </c>
      <c r="AB16" s="16">
        <v>7</v>
      </c>
      <c r="AC16" s="16">
        <v>8</v>
      </c>
      <c r="AD16" s="16">
        <v>5</v>
      </c>
      <c r="AE16" s="16">
        <v>6</v>
      </c>
      <c r="AF16" s="16">
        <v>6</v>
      </c>
      <c r="AG16" s="16">
        <v>8</v>
      </c>
      <c r="AH16" s="16">
        <v>8</v>
      </c>
      <c r="AI16" s="105"/>
      <c r="AJ16" s="105"/>
      <c r="AK16" s="105"/>
      <c r="AL16" s="16">
        <v>8</v>
      </c>
      <c r="AM16" s="16">
        <v>8.5</v>
      </c>
      <c r="AN16" s="16">
        <v>6</v>
      </c>
      <c r="AO16" s="17">
        <f t="shared" si="0"/>
        <v>230</v>
      </c>
      <c r="AP16" s="65">
        <f t="shared" si="1"/>
        <v>6.9696969696969697</v>
      </c>
    </row>
    <row r="17" spans="1:42" ht="15.5" x14ac:dyDescent="0.35">
      <c r="A17" s="10">
        <f>'Data Siswa'!A17</f>
        <v>16</v>
      </c>
      <c r="B17" s="77" t="str">
        <f>'Data Siswa'!B17</f>
        <v>NAZID ZULFA NOOR</v>
      </c>
      <c r="C17" s="10" t="str">
        <f>'Data Siswa'!C17</f>
        <v>0523</v>
      </c>
      <c r="D17" s="16">
        <v>7</v>
      </c>
      <c r="E17" s="16">
        <v>8</v>
      </c>
      <c r="F17" s="16">
        <v>5.5</v>
      </c>
      <c r="G17" s="16">
        <v>7.5</v>
      </c>
      <c r="H17" s="16">
        <v>7</v>
      </c>
      <c r="I17" s="16">
        <v>8</v>
      </c>
      <c r="J17" s="16">
        <v>7</v>
      </c>
      <c r="K17" s="16">
        <v>6</v>
      </c>
      <c r="L17" s="16">
        <v>7</v>
      </c>
      <c r="M17" s="16">
        <v>9</v>
      </c>
      <c r="N17" s="16">
        <v>8</v>
      </c>
      <c r="O17" s="16">
        <v>8</v>
      </c>
      <c r="P17" s="16">
        <v>6.5</v>
      </c>
      <c r="Q17" s="16">
        <v>8</v>
      </c>
      <c r="R17" s="16">
        <v>6</v>
      </c>
      <c r="S17" s="16">
        <v>7</v>
      </c>
      <c r="T17" s="16">
        <v>8</v>
      </c>
      <c r="U17" s="16">
        <v>8</v>
      </c>
      <c r="V17" s="16">
        <v>7</v>
      </c>
      <c r="W17" s="16">
        <v>7</v>
      </c>
      <c r="X17" s="16">
        <v>7</v>
      </c>
      <c r="Y17" s="16"/>
      <c r="Z17" s="16">
        <v>5.5</v>
      </c>
      <c r="AA17" s="16">
        <v>7</v>
      </c>
      <c r="AB17" s="16">
        <v>7</v>
      </c>
      <c r="AC17" s="16">
        <v>8</v>
      </c>
      <c r="AD17" s="16">
        <v>6.5</v>
      </c>
      <c r="AE17" s="16">
        <v>6</v>
      </c>
      <c r="AF17" s="16">
        <v>6</v>
      </c>
      <c r="AG17" s="16">
        <v>8</v>
      </c>
      <c r="AH17" s="16">
        <v>8</v>
      </c>
      <c r="AI17" s="105"/>
      <c r="AJ17" s="105"/>
      <c r="AK17" s="105"/>
      <c r="AL17" s="16">
        <v>8</v>
      </c>
      <c r="AM17" s="16">
        <v>8.5</v>
      </c>
      <c r="AN17" s="16">
        <v>6</v>
      </c>
      <c r="AO17" s="17">
        <f t="shared" si="0"/>
        <v>237</v>
      </c>
      <c r="AP17" s="65">
        <f t="shared" si="1"/>
        <v>7.1818181818181817</v>
      </c>
    </row>
    <row r="18" spans="1:42" ht="15.5" x14ac:dyDescent="0.35">
      <c r="A18" s="10">
        <f>'Data Siswa'!A18</f>
        <v>17</v>
      </c>
      <c r="B18" s="77" t="str">
        <f>'Data Siswa'!B18</f>
        <v>NIBRAAS CAHYA GEMILANG</v>
      </c>
      <c r="C18" s="10" t="str">
        <f>'Data Siswa'!C18</f>
        <v>0524</v>
      </c>
      <c r="D18" s="16">
        <v>4.5</v>
      </c>
      <c r="E18" s="16">
        <v>4.5</v>
      </c>
      <c r="F18" s="16">
        <v>4.5</v>
      </c>
      <c r="G18" s="16">
        <v>5</v>
      </c>
      <c r="H18" s="16">
        <v>4.5</v>
      </c>
      <c r="I18" s="16">
        <v>5</v>
      </c>
      <c r="J18" s="16">
        <v>5.5</v>
      </c>
      <c r="K18" s="16">
        <v>6</v>
      </c>
      <c r="L18" s="16">
        <v>7</v>
      </c>
      <c r="M18" s="16">
        <v>8</v>
      </c>
      <c r="N18" s="16">
        <v>6.5</v>
      </c>
      <c r="O18" s="16">
        <v>5</v>
      </c>
      <c r="P18" s="16">
        <v>4.5</v>
      </c>
      <c r="Q18" s="16">
        <v>6</v>
      </c>
      <c r="R18" s="16">
        <v>5</v>
      </c>
      <c r="S18" s="16">
        <v>4.5</v>
      </c>
      <c r="T18" s="16">
        <v>5.5</v>
      </c>
      <c r="U18" s="16">
        <v>7</v>
      </c>
      <c r="V18" s="16">
        <v>4</v>
      </c>
      <c r="W18" s="16">
        <v>6</v>
      </c>
      <c r="X18" s="16">
        <v>7</v>
      </c>
      <c r="Y18" s="16"/>
      <c r="Z18" s="16">
        <v>4</v>
      </c>
      <c r="AA18" s="16">
        <v>7</v>
      </c>
      <c r="AB18" s="16">
        <v>6</v>
      </c>
      <c r="AC18" s="16">
        <v>8</v>
      </c>
      <c r="AD18" s="16">
        <v>6.5</v>
      </c>
      <c r="AE18" s="16">
        <v>6</v>
      </c>
      <c r="AF18" s="16">
        <v>6</v>
      </c>
      <c r="AG18" s="16">
        <v>8</v>
      </c>
      <c r="AH18" s="16">
        <v>8</v>
      </c>
      <c r="AI18" s="105"/>
      <c r="AJ18" s="105"/>
      <c r="AK18" s="105"/>
      <c r="AL18" s="16">
        <v>8</v>
      </c>
      <c r="AM18" s="16">
        <v>7.7</v>
      </c>
      <c r="AN18" s="16">
        <v>6</v>
      </c>
      <c r="AO18" s="17">
        <f t="shared" si="0"/>
        <v>196.7</v>
      </c>
      <c r="AP18" s="65">
        <f t="shared" si="1"/>
        <v>5.96060606060606</v>
      </c>
    </row>
    <row r="19" spans="1:42" ht="15.5" x14ac:dyDescent="0.35">
      <c r="A19" s="10">
        <f>'Data Siswa'!A19</f>
        <v>18</v>
      </c>
      <c r="B19" s="77" t="str">
        <f>'Data Siswa'!B19</f>
        <v>REFALDI</v>
      </c>
      <c r="C19" s="10" t="str">
        <f>'Data Siswa'!C19</f>
        <v>0525</v>
      </c>
      <c r="D19" s="16">
        <v>4</v>
      </c>
      <c r="E19" s="16">
        <v>7</v>
      </c>
      <c r="F19" s="16">
        <v>5.5</v>
      </c>
      <c r="G19" s="16">
        <v>6</v>
      </c>
      <c r="H19" s="16">
        <v>4.5</v>
      </c>
      <c r="I19" s="16">
        <v>6.5</v>
      </c>
      <c r="J19" s="16">
        <v>5.5</v>
      </c>
      <c r="K19" s="16">
        <v>5.5</v>
      </c>
      <c r="L19" s="16">
        <v>7</v>
      </c>
      <c r="M19" s="16">
        <v>8</v>
      </c>
      <c r="N19" s="16">
        <v>6</v>
      </c>
      <c r="O19" s="16">
        <v>5</v>
      </c>
      <c r="P19" s="16">
        <v>4.5</v>
      </c>
      <c r="Q19" s="16">
        <v>5</v>
      </c>
      <c r="R19" s="16">
        <v>5</v>
      </c>
      <c r="S19" s="16">
        <v>5</v>
      </c>
      <c r="T19" s="16">
        <v>4</v>
      </c>
      <c r="U19" s="16">
        <v>7.5</v>
      </c>
      <c r="V19" s="16">
        <v>5</v>
      </c>
      <c r="W19" s="16">
        <v>6</v>
      </c>
      <c r="X19" s="16">
        <v>7</v>
      </c>
      <c r="Y19" s="16"/>
      <c r="Z19" s="16">
        <v>4.5</v>
      </c>
      <c r="AA19" s="16">
        <v>7</v>
      </c>
      <c r="AB19" s="16">
        <v>6</v>
      </c>
      <c r="AC19" s="16">
        <v>8</v>
      </c>
      <c r="AD19" s="16">
        <v>7</v>
      </c>
      <c r="AE19" s="16">
        <v>5</v>
      </c>
      <c r="AF19" s="16">
        <v>6</v>
      </c>
      <c r="AG19" s="16">
        <v>8</v>
      </c>
      <c r="AH19" s="16">
        <v>8</v>
      </c>
      <c r="AI19" s="105"/>
      <c r="AJ19" s="105"/>
      <c r="AK19" s="105"/>
      <c r="AL19" s="16">
        <v>8</v>
      </c>
      <c r="AM19" s="16">
        <v>8</v>
      </c>
      <c r="AN19" s="16">
        <v>6</v>
      </c>
      <c r="AO19" s="17">
        <f t="shared" si="0"/>
        <v>201</v>
      </c>
      <c r="AP19" s="65">
        <f t="shared" si="1"/>
        <v>6.0909090909090908</v>
      </c>
    </row>
    <row r="20" spans="1:42" ht="15.5" x14ac:dyDescent="0.35">
      <c r="A20" s="10">
        <f>'Data Siswa'!A20</f>
        <v>19</v>
      </c>
      <c r="B20" s="77" t="str">
        <f>'Data Siswa'!B20</f>
        <v>RIZKY ARIF FIRMANSYAH</v>
      </c>
      <c r="C20" s="10" t="str">
        <f>'Data Siswa'!C20</f>
        <v>0526</v>
      </c>
      <c r="D20" s="16">
        <v>6</v>
      </c>
      <c r="E20" s="16">
        <v>7</v>
      </c>
      <c r="F20" s="16">
        <v>5</v>
      </c>
      <c r="G20" s="16">
        <v>8</v>
      </c>
      <c r="H20" s="16">
        <v>6</v>
      </c>
      <c r="I20" s="16">
        <v>7.5</v>
      </c>
      <c r="J20" s="16">
        <v>7</v>
      </c>
      <c r="K20" s="16">
        <v>6</v>
      </c>
      <c r="L20" s="16">
        <v>7</v>
      </c>
      <c r="M20" s="16">
        <v>9</v>
      </c>
      <c r="N20" s="16">
        <v>8</v>
      </c>
      <c r="O20" s="16">
        <v>5</v>
      </c>
      <c r="P20" s="16">
        <v>6</v>
      </c>
      <c r="Q20" s="16">
        <v>5.5</v>
      </c>
      <c r="R20" s="16">
        <v>5</v>
      </c>
      <c r="S20" s="16">
        <v>8</v>
      </c>
      <c r="T20" s="16">
        <v>8</v>
      </c>
      <c r="U20" s="16">
        <v>8</v>
      </c>
      <c r="V20" s="16">
        <v>5.5</v>
      </c>
      <c r="W20" s="16">
        <v>6</v>
      </c>
      <c r="X20" s="16">
        <v>7</v>
      </c>
      <c r="Y20" s="16"/>
      <c r="Z20" s="16">
        <v>5</v>
      </c>
      <c r="AA20" s="16">
        <v>7</v>
      </c>
      <c r="AB20" s="16">
        <v>6</v>
      </c>
      <c r="AC20" s="16">
        <v>8</v>
      </c>
      <c r="AD20" s="16">
        <v>6.5</v>
      </c>
      <c r="AE20" s="16">
        <v>6</v>
      </c>
      <c r="AF20" s="16">
        <v>6</v>
      </c>
      <c r="AG20" s="16">
        <v>8</v>
      </c>
      <c r="AH20" s="16">
        <v>8</v>
      </c>
      <c r="AI20" s="105"/>
      <c r="AJ20" s="105"/>
      <c r="AK20" s="105"/>
      <c r="AL20" s="16">
        <v>8</v>
      </c>
      <c r="AM20" s="16">
        <v>8.6999999999999993</v>
      </c>
      <c r="AN20" s="16">
        <v>6</v>
      </c>
      <c r="AO20" s="17">
        <f t="shared" si="0"/>
        <v>223.7</v>
      </c>
      <c r="AP20" s="65">
        <f t="shared" si="1"/>
        <v>6.7787878787878784</v>
      </c>
    </row>
    <row r="21" spans="1:42" ht="15.5" x14ac:dyDescent="0.35">
      <c r="A21" s="10">
        <f>'Data Siswa'!A21</f>
        <v>20</v>
      </c>
      <c r="B21" s="77" t="str">
        <f>'Data Siswa'!B21</f>
        <v>SAKTIAJI AL-BAQRY</v>
      </c>
      <c r="C21" s="10" t="str">
        <f>'Data Siswa'!C21</f>
        <v>0527</v>
      </c>
      <c r="D21" s="16">
        <v>4.5</v>
      </c>
      <c r="E21" s="16">
        <v>5.5</v>
      </c>
      <c r="F21" s="16">
        <v>5</v>
      </c>
      <c r="G21" s="16">
        <v>6.5</v>
      </c>
      <c r="H21" s="16">
        <v>6.5</v>
      </c>
      <c r="I21" s="16">
        <v>5</v>
      </c>
      <c r="J21" s="16">
        <v>6</v>
      </c>
      <c r="K21" s="16">
        <v>6</v>
      </c>
      <c r="L21" s="16">
        <v>7</v>
      </c>
      <c r="M21" s="16">
        <v>8</v>
      </c>
      <c r="N21" s="16">
        <v>6</v>
      </c>
      <c r="O21" s="16">
        <v>5</v>
      </c>
      <c r="P21" s="16">
        <v>5</v>
      </c>
      <c r="Q21" s="16">
        <v>7</v>
      </c>
      <c r="R21" s="16">
        <v>8</v>
      </c>
      <c r="S21" s="16">
        <v>6</v>
      </c>
      <c r="T21" s="16">
        <v>7</v>
      </c>
      <c r="U21" s="16">
        <v>7.5</v>
      </c>
      <c r="V21" s="16">
        <v>5.5</v>
      </c>
      <c r="W21" s="16">
        <v>6</v>
      </c>
      <c r="X21" s="16">
        <v>7</v>
      </c>
      <c r="Y21" s="16"/>
      <c r="Z21" s="16">
        <v>4.5</v>
      </c>
      <c r="AA21" s="16">
        <v>7</v>
      </c>
      <c r="AB21" s="16">
        <v>6</v>
      </c>
      <c r="AC21" s="16">
        <v>7.5</v>
      </c>
      <c r="AD21" s="16">
        <v>4</v>
      </c>
      <c r="AE21" s="16">
        <v>5</v>
      </c>
      <c r="AF21" s="16">
        <v>6</v>
      </c>
      <c r="AG21" s="16">
        <v>8</v>
      </c>
      <c r="AH21" s="16">
        <v>8</v>
      </c>
      <c r="AI21" s="105"/>
      <c r="AJ21" s="105"/>
      <c r="AK21" s="105"/>
      <c r="AL21" s="16">
        <v>8</v>
      </c>
      <c r="AM21" s="16">
        <v>7.8</v>
      </c>
      <c r="AN21" s="16">
        <v>6</v>
      </c>
      <c r="AO21" s="17">
        <f t="shared" si="0"/>
        <v>207.8</v>
      </c>
      <c r="AP21" s="65">
        <f t="shared" si="1"/>
        <v>6.2969696969696969</v>
      </c>
    </row>
    <row r="22" spans="1:42" ht="15.5" x14ac:dyDescent="0.35">
      <c r="A22" s="10">
        <f>'Data Siswa'!A22</f>
        <v>21</v>
      </c>
      <c r="B22" s="77" t="str">
        <f>'Data Siswa'!B22</f>
        <v>SUJENI TURANDI</v>
      </c>
      <c r="C22" s="10" t="str">
        <f>'Data Siswa'!C22</f>
        <v>0528</v>
      </c>
      <c r="D22" s="16">
        <v>4.5</v>
      </c>
      <c r="E22" s="16">
        <v>7</v>
      </c>
      <c r="F22" s="16">
        <v>5</v>
      </c>
      <c r="G22" s="16">
        <v>7.5</v>
      </c>
      <c r="H22" s="16">
        <v>5.5</v>
      </c>
      <c r="I22" s="16">
        <v>6.5</v>
      </c>
      <c r="J22" s="16">
        <v>7</v>
      </c>
      <c r="K22" s="16">
        <v>5.5</v>
      </c>
      <c r="L22" s="16">
        <v>7</v>
      </c>
      <c r="M22" s="16">
        <v>8.5</v>
      </c>
      <c r="N22" s="16">
        <v>7.5</v>
      </c>
      <c r="O22" s="16">
        <v>6</v>
      </c>
      <c r="P22" s="16">
        <v>5</v>
      </c>
      <c r="Q22" s="16">
        <v>7.5</v>
      </c>
      <c r="R22" s="16">
        <v>7</v>
      </c>
      <c r="S22" s="16">
        <v>7</v>
      </c>
      <c r="T22" s="16">
        <v>8</v>
      </c>
      <c r="U22" s="16">
        <v>8</v>
      </c>
      <c r="V22" s="16">
        <v>6.5</v>
      </c>
      <c r="W22" s="16">
        <v>7</v>
      </c>
      <c r="X22" s="16">
        <v>7</v>
      </c>
      <c r="Y22" s="16"/>
      <c r="Z22" s="16">
        <v>4.5</v>
      </c>
      <c r="AA22" s="16">
        <v>7</v>
      </c>
      <c r="AB22" s="16">
        <v>7</v>
      </c>
      <c r="AC22" s="16">
        <v>7.5</v>
      </c>
      <c r="AD22" s="16">
        <v>5</v>
      </c>
      <c r="AE22" s="16">
        <v>6</v>
      </c>
      <c r="AF22" s="16">
        <v>6</v>
      </c>
      <c r="AG22" s="16">
        <v>8</v>
      </c>
      <c r="AH22" s="16">
        <v>8</v>
      </c>
      <c r="AI22" s="105"/>
      <c r="AJ22" s="105"/>
      <c r="AK22" s="105"/>
      <c r="AL22" s="16">
        <v>8</v>
      </c>
      <c r="AM22" s="16">
        <v>8.5</v>
      </c>
      <c r="AN22" s="16">
        <v>6</v>
      </c>
      <c r="AO22" s="17">
        <f t="shared" si="0"/>
        <v>222</v>
      </c>
      <c r="AP22" s="65">
        <f t="shared" si="1"/>
        <v>6.7272727272727275</v>
      </c>
    </row>
    <row r="23" spans="1:42" ht="15.5" x14ac:dyDescent="0.35">
      <c r="A23" s="10">
        <f>'Data Siswa'!A23</f>
        <v>22</v>
      </c>
      <c r="B23" s="77" t="str">
        <f>'Data Siswa'!B23</f>
        <v>SULTAN MAULANA FAHRI</v>
      </c>
      <c r="C23" s="10" t="str">
        <f>'Data Siswa'!C23</f>
        <v>0529</v>
      </c>
      <c r="D23" s="16">
        <v>4.5</v>
      </c>
      <c r="E23" s="16">
        <v>6</v>
      </c>
      <c r="F23" s="16">
        <v>5</v>
      </c>
      <c r="G23" s="16">
        <v>8</v>
      </c>
      <c r="H23" s="16">
        <v>7</v>
      </c>
      <c r="I23" s="16">
        <v>6</v>
      </c>
      <c r="J23" s="16">
        <v>7</v>
      </c>
      <c r="K23" s="16">
        <v>5.5</v>
      </c>
      <c r="L23" s="16">
        <v>7</v>
      </c>
      <c r="M23" s="16">
        <v>8</v>
      </c>
      <c r="N23" s="16">
        <v>7</v>
      </c>
      <c r="O23" s="16">
        <v>8</v>
      </c>
      <c r="P23" s="16">
        <v>6</v>
      </c>
      <c r="Q23" s="16">
        <v>8</v>
      </c>
      <c r="R23" s="16">
        <v>8</v>
      </c>
      <c r="S23" s="16">
        <v>8</v>
      </c>
      <c r="T23" s="16">
        <v>8</v>
      </c>
      <c r="U23" s="16">
        <v>8</v>
      </c>
      <c r="V23" s="16">
        <v>7</v>
      </c>
      <c r="W23" s="16">
        <v>7</v>
      </c>
      <c r="X23" s="16">
        <v>7</v>
      </c>
      <c r="Y23" s="16"/>
      <c r="Z23" s="16">
        <v>4.5</v>
      </c>
      <c r="AA23" s="16">
        <v>7</v>
      </c>
      <c r="AB23" s="16">
        <v>7</v>
      </c>
      <c r="AC23" s="16">
        <v>8</v>
      </c>
      <c r="AD23" s="16">
        <v>7</v>
      </c>
      <c r="AE23" s="16">
        <v>6</v>
      </c>
      <c r="AF23" s="16">
        <v>6</v>
      </c>
      <c r="AG23" s="16">
        <v>8</v>
      </c>
      <c r="AH23" s="16">
        <v>8</v>
      </c>
      <c r="AI23" s="105"/>
      <c r="AJ23" s="105"/>
      <c r="AK23" s="105"/>
      <c r="AL23" s="16">
        <v>8</v>
      </c>
      <c r="AM23" s="16">
        <v>8</v>
      </c>
      <c r="AN23" s="16">
        <v>6</v>
      </c>
      <c r="AO23" s="17">
        <f t="shared" si="0"/>
        <v>229.5</v>
      </c>
      <c r="AP23" s="65">
        <f t="shared" si="1"/>
        <v>6.9545454545454541</v>
      </c>
    </row>
    <row r="24" spans="1:42" ht="15.5" x14ac:dyDescent="0.35">
      <c r="A24" s="10">
        <f>'Data Siswa'!A24</f>
        <v>23</v>
      </c>
      <c r="B24" s="77" t="str">
        <f>'Data Siswa'!B24</f>
        <v>YOGI PRATAMA</v>
      </c>
      <c r="C24" s="10" t="str">
        <f>'Data Siswa'!C24</f>
        <v>0530</v>
      </c>
      <c r="D24" s="16">
        <v>4</v>
      </c>
      <c r="E24" s="16">
        <v>6.5</v>
      </c>
      <c r="F24" s="16">
        <v>5</v>
      </c>
      <c r="G24" s="16">
        <v>6</v>
      </c>
      <c r="H24" s="16">
        <v>4</v>
      </c>
      <c r="I24" s="16">
        <v>6</v>
      </c>
      <c r="J24" s="16">
        <v>5.5</v>
      </c>
      <c r="K24" s="16">
        <v>5.5</v>
      </c>
      <c r="L24" s="16">
        <v>7</v>
      </c>
      <c r="M24" s="16">
        <v>9</v>
      </c>
      <c r="N24" s="16">
        <v>7</v>
      </c>
      <c r="O24" s="16">
        <v>4</v>
      </c>
      <c r="P24" s="16">
        <v>5.5</v>
      </c>
      <c r="Q24" s="16">
        <v>6</v>
      </c>
      <c r="R24" s="16">
        <v>5</v>
      </c>
      <c r="S24" s="16">
        <v>6</v>
      </c>
      <c r="T24" s="16">
        <v>6</v>
      </c>
      <c r="U24" s="16">
        <v>8</v>
      </c>
      <c r="V24" s="16">
        <v>5.5</v>
      </c>
      <c r="W24" s="16">
        <v>6</v>
      </c>
      <c r="X24" s="16">
        <v>7</v>
      </c>
      <c r="Y24" s="16"/>
      <c r="Z24" s="16">
        <v>4</v>
      </c>
      <c r="AA24" s="16">
        <v>7</v>
      </c>
      <c r="AB24" s="16">
        <v>6</v>
      </c>
      <c r="AC24" s="16">
        <v>7.5</v>
      </c>
      <c r="AD24" s="16">
        <v>6.5</v>
      </c>
      <c r="AE24" s="16">
        <v>6</v>
      </c>
      <c r="AF24" s="16">
        <v>6</v>
      </c>
      <c r="AG24" s="16">
        <v>8</v>
      </c>
      <c r="AH24" s="16">
        <v>8</v>
      </c>
      <c r="AI24" s="105"/>
      <c r="AJ24" s="105"/>
      <c r="AK24" s="105"/>
      <c r="AL24" s="16">
        <v>8</v>
      </c>
      <c r="AM24" s="16">
        <v>8.5</v>
      </c>
      <c r="AN24" s="16">
        <v>6</v>
      </c>
      <c r="AO24" s="17">
        <f t="shared" si="0"/>
        <v>206</v>
      </c>
      <c r="AP24" s="65">
        <f t="shared" si="1"/>
        <v>6.2424242424242422</v>
      </c>
    </row>
    <row r="25" spans="1:42" ht="15.5" x14ac:dyDescent="0.35">
      <c r="A25" s="10">
        <f>'Data Siswa'!A25</f>
        <v>24</v>
      </c>
      <c r="B25" s="77">
        <f>'Data Siswa'!B25</f>
        <v>0</v>
      </c>
      <c r="C25" s="10">
        <f>'Data Siswa'!C25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05"/>
      <c r="AJ25" s="105"/>
      <c r="AK25" s="105"/>
      <c r="AL25" s="16"/>
      <c r="AM25" s="16"/>
      <c r="AN25" s="16"/>
      <c r="AO25" s="17">
        <f t="shared" si="0"/>
        <v>0</v>
      </c>
      <c r="AP25" s="65" t="e">
        <f t="shared" si="1"/>
        <v>#DIV/0!</v>
      </c>
    </row>
    <row r="26" spans="1:42" ht="15.5" x14ac:dyDescent="0.35">
      <c r="A26" s="10">
        <f>'Data Siswa'!A26</f>
        <v>25</v>
      </c>
      <c r="B26" s="77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05"/>
      <c r="AJ26" s="105"/>
      <c r="AK26" s="105"/>
      <c r="AL26" s="16"/>
      <c r="AM26" s="16"/>
      <c r="AN26" s="16"/>
      <c r="AO26" s="17">
        <f t="shared" si="0"/>
        <v>0</v>
      </c>
      <c r="AP26" s="65" t="e">
        <f t="shared" si="1"/>
        <v>#DIV/0!</v>
      </c>
    </row>
    <row r="27" spans="1:42" ht="15.5" x14ac:dyDescent="0.35">
      <c r="A27" s="10">
        <f>'Data Siswa'!A27</f>
        <v>26</v>
      </c>
      <c r="B27" s="77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05"/>
      <c r="AJ27" s="105"/>
      <c r="AK27" s="105"/>
      <c r="AL27" s="16"/>
      <c r="AM27" s="16"/>
      <c r="AN27" s="16"/>
      <c r="AO27" s="17">
        <f t="shared" si="0"/>
        <v>0</v>
      </c>
      <c r="AP27" s="65" t="e">
        <f t="shared" si="1"/>
        <v>#DIV/0!</v>
      </c>
    </row>
    <row r="28" spans="1:42" ht="15.5" x14ac:dyDescent="0.35">
      <c r="A28" s="10">
        <f>'Data Siswa'!A28</f>
        <v>27</v>
      </c>
      <c r="B28" s="77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05"/>
      <c r="AJ28" s="105"/>
      <c r="AK28" s="105"/>
      <c r="AL28" s="16"/>
      <c r="AM28" s="16"/>
      <c r="AN28" s="16"/>
      <c r="AO28" s="17">
        <f t="shared" si="0"/>
        <v>0</v>
      </c>
      <c r="AP28" s="65" t="e">
        <f t="shared" si="1"/>
        <v>#DIV/0!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05"/>
      <c r="AJ29" s="105"/>
      <c r="AK29" s="105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05"/>
      <c r="AJ30" s="105"/>
      <c r="AK30" s="105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05"/>
      <c r="AJ31" s="105"/>
      <c r="AK31" s="105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5"/>
      <c r="AJ32" s="105"/>
      <c r="AK32" s="105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5"/>
      <c r="AJ33" s="105"/>
      <c r="AK33" s="105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5"/>
      <c r="AJ34" s="105"/>
      <c r="AK34" s="105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5"/>
      <c r="AJ35" s="105"/>
      <c r="AK35" s="105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5"/>
      <c r="AJ36" s="105"/>
      <c r="AK36" s="105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5"/>
      <c r="AJ37" s="105"/>
      <c r="AK37" s="105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5"/>
      <c r="AJ38" s="105"/>
      <c r="AK38" s="105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5"/>
      <c r="AJ39" s="105"/>
      <c r="AK39" s="105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5"/>
      <c r="AJ40" s="105"/>
      <c r="AK40" s="105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5"/>
      <c r="AJ41" s="105"/>
      <c r="AK41" s="105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AA4" sqref="AA4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7" t="s">
        <v>174</v>
      </c>
      <c r="B1" s="138"/>
      <c r="C1" s="139"/>
      <c r="D1" s="140" t="s">
        <v>175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2"/>
      <c r="W1" s="149"/>
      <c r="X1" s="151" t="s">
        <v>173</v>
      </c>
      <c r="Y1" s="152"/>
      <c r="Z1" s="153"/>
      <c r="AA1" s="70" t="s">
        <v>168</v>
      </c>
    </row>
    <row r="2" spans="1:27" ht="19.5" customHeight="1" x14ac:dyDescent="0.35">
      <c r="A2" s="145" t="s">
        <v>76</v>
      </c>
      <c r="B2" s="143" t="s">
        <v>55</v>
      </c>
      <c r="C2" s="145" t="s">
        <v>54</v>
      </c>
      <c r="D2" s="143" t="s">
        <v>81</v>
      </c>
      <c r="E2" s="143"/>
      <c r="F2" s="143"/>
      <c r="G2" s="143"/>
      <c r="H2" s="143"/>
      <c r="I2" s="143"/>
      <c r="J2" s="134" t="s">
        <v>82</v>
      </c>
      <c r="K2" s="135"/>
      <c r="L2" s="135"/>
      <c r="M2" s="135"/>
      <c r="N2" s="136"/>
      <c r="O2" s="134" t="s">
        <v>83</v>
      </c>
      <c r="P2" s="135"/>
      <c r="Q2" s="135"/>
      <c r="R2" s="135"/>
      <c r="S2" s="135"/>
      <c r="T2" s="136"/>
      <c r="U2" s="146" t="s">
        <v>27</v>
      </c>
      <c r="V2" s="144" t="s">
        <v>98</v>
      </c>
      <c r="W2" s="150"/>
      <c r="X2" s="146" t="s">
        <v>281</v>
      </c>
      <c r="Y2" s="146" t="s">
        <v>98</v>
      </c>
      <c r="Z2" s="146" t="s">
        <v>90</v>
      </c>
      <c r="AA2" s="148" t="s">
        <v>177</v>
      </c>
    </row>
    <row r="3" spans="1:27" ht="85" customHeight="1" x14ac:dyDescent="0.35">
      <c r="A3" s="145"/>
      <c r="B3" s="143"/>
      <c r="C3" s="145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262</v>
      </c>
      <c r="N3" s="19" t="s">
        <v>89</v>
      </c>
      <c r="O3" s="18" t="s">
        <v>179</v>
      </c>
      <c r="P3" s="18" t="s">
        <v>85</v>
      </c>
      <c r="Q3" s="18" t="s">
        <v>103</v>
      </c>
      <c r="R3" s="18" t="s">
        <v>56</v>
      </c>
      <c r="S3" s="19" t="s">
        <v>279</v>
      </c>
      <c r="T3" s="18" t="s">
        <v>86</v>
      </c>
      <c r="U3" s="147"/>
      <c r="V3" s="144"/>
      <c r="W3" s="150"/>
      <c r="X3" s="147"/>
      <c r="Y3" s="147"/>
      <c r="Z3" s="147"/>
      <c r="AA3" s="148"/>
    </row>
    <row r="4" spans="1:27" ht="15.5" x14ac:dyDescent="0.35">
      <c r="A4" s="71">
        <f>'Data Siswa'!A2</f>
        <v>1</v>
      </c>
      <c r="B4" s="78" t="str">
        <f>'Data Siswa'!B2</f>
        <v>AHMAD FARIS</v>
      </c>
      <c r="C4" s="71" t="str">
        <f>'Data Siswa'!C2</f>
        <v>0508</v>
      </c>
      <c r="D4" s="16">
        <v>5</v>
      </c>
      <c r="E4" s="16">
        <v>5.5</v>
      </c>
      <c r="F4" s="16">
        <v>5</v>
      </c>
      <c r="G4" s="16">
        <v>6</v>
      </c>
      <c r="H4" s="16">
        <v>5.5</v>
      </c>
      <c r="I4" s="16"/>
      <c r="J4" s="16">
        <v>5</v>
      </c>
      <c r="K4" s="16">
        <v>4</v>
      </c>
      <c r="L4" s="16">
        <v>4</v>
      </c>
      <c r="M4" s="16">
        <v>4</v>
      </c>
      <c r="N4" s="16">
        <v>5.5</v>
      </c>
      <c r="O4" s="16">
        <v>6</v>
      </c>
      <c r="P4" s="16">
        <v>6</v>
      </c>
      <c r="Q4" s="16">
        <v>4</v>
      </c>
      <c r="R4" s="16">
        <v>4</v>
      </c>
      <c r="S4" s="16">
        <v>6</v>
      </c>
      <c r="T4" s="16"/>
      <c r="U4" s="72">
        <f t="shared" ref="U4:U43" si="0">SUM(D4:T4)</f>
        <v>75.5</v>
      </c>
      <c r="V4" s="73">
        <f t="shared" ref="V4:V43" si="1">AVERAGE(D4:T4)</f>
        <v>5.0333333333333332</v>
      </c>
      <c r="W4" s="74"/>
      <c r="X4" s="72">
        <f>SUM('Nilai Tahriri'!AO2,'Nilai Syafahi'!U4)</f>
        <v>281.8</v>
      </c>
      <c r="Y4" s="73">
        <f>AVERAGE(D4:T4,'Nilai Tahriri'!D2:AN2)</f>
        <v>5.8708333333333336</v>
      </c>
      <c r="Z4" s="75">
        <f t="array" aca="1" ref="Z4" ca="1">SUM(IF(X4&lt;OFFSET($X$4,0,0,COUNT(X:X),1),1/COUNTIF(OFFSET($X$4,0,0,COUNT(X:X),1),OFFSET($X$4,0,0,COUNT(X:X),1))))+1</f>
        <v>20</v>
      </c>
      <c r="AA4" s="61" t="s">
        <v>274</v>
      </c>
    </row>
    <row r="5" spans="1:27" ht="15.5" x14ac:dyDescent="0.35">
      <c r="A5" s="71">
        <f>'Data Siswa'!A3</f>
        <v>2</v>
      </c>
      <c r="B5" s="79" t="str">
        <f>'Data Siswa'!B3</f>
        <v>AHMAD YAZID ZIDAN</v>
      </c>
      <c r="C5" s="71" t="str">
        <f>'Data Siswa'!C3</f>
        <v>0509</v>
      </c>
      <c r="D5" s="16">
        <v>6</v>
      </c>
      <c r="E5" s="16">
        <v>6</v>
      </c>
      <c r="F5" s="16">
        <v>6</v>
      </c>
      <c r="G5" s="16">
        <v>6</v>
      </c>
      <c r="H5" s="16">
        <v>5.5</v>
      </c>
      <c r="I5" s="16"/>
      <c r="J5" s="16">
        <v>6.5</v>
      </c>
      <c r="K5" s="16">
        <v>7</v>
      </c>
      <c r="L5" s="16">
        <v>7</v>
      </c>
      <c r="M5" s="16">
        <v>7</v>
      </c>
      <c r="N5" s="16">
        <v>6</v>
      </c>
      <c r="O5" s="16">
        <v>6</v>
      </c>
      <c r="P5" s="16">
        <v>8</v>
      </c>
      <c r="Q5" s="16">
        <v>5</v>
      </c>
      <c r="R5" s="16">
        <v>4</v>
      </c>
      <c r="S5" s="16">
        <v>5.5</v>
      </c>
      <c r="T5" s="16"/>
      <c r="U5" s="72">
        <f t="shared" si="0"/>
        <v>91.5</v>
      </c>
      <c r="V5" s="73">
        <f t="shared" si="1"/>
        <v>6.1</v>
      </c>
      <c r="W5" s="74"/>
      <c r="X5" s="72">
        <f>SUM('Nilai Tahriri'!AO3,'Nilai Syafahi'!U5)</f>
        <v>300</v>
      </c>
      <c r="Y5" s="73">
        <f>AVERAGE(D5:T5,'Nilai Tahriri'!D3:AN3)</f>
        <v>6.25</v>
      </c>
      <c r="Z5" s="75">
        <f t="array" aca="1" ref="Z5" ca="1">SUM(IF(X5&lt;OFFSET($X$4,0,0,COUNT(X:X),1),1/COUNTIF(OFFSET($X$4,0,0,COUNT(X:X),1),OFFSET($X$4,0,0,COUNT(X:X),1))))+1</f>
        <v>12</v>
      </c>
      <c r="AA5" s="61" t="s">
        <v>274</v>
      </c>
    </row>
    <row r="6" spans="1:27" ht="15.5" x14ac:dyDescent="0.35">
      <c r="A6" s="71">
        <f>'Data Siswa'!A4</f>
        <v>3</v>
      </c>
      <c r="B6" s="78" t="str">
        <f>'Data Siswa'!B4</f>
        <v>ALIEF RAMADHAN BADRI</v>
      </c>
      <c r="C6" s="71" t="str">
        <f>'Data Siswa'!C4</f>
        <v>0510</v>
      </c>
      <c r="D6" s="16">
        <v>7</v>
      </c>
      <c r="E6" s="16">
        <v>6</v>
      </c>
      <c r="F6" s="16">
        <v>6.5</v>
      </c>
      <c r="G6" s="16">
        <v>7</v>
      </c>
      <c r="H6" s="16">
        <v>7</v>
      </c>
      <c r="I6" s="16"/>
      <c r="J6" s="16">
        <v>4.5</v>
      </c>
      <c r="K6" s="16">
        <v>5.5</v>
      </c>
      <c r="L6" s="16">
        <v>5.5</v>
      </c>
      <c r="M6" s="16">
        <v>5.5</v>
      </c>
      <c r="N6" s="16">
        <v>5</v>
      </c>
      <c r="O6" s="16">
        <v>7.5</v>
      </c>
      <c r="P6" s="16">
        <v>8</v>
      </c>
      <c r="Q6" s="16">
        <v>6</v>
      </c>
      <c r="R6" s="16">
        <v>4</v>
      </c>
      <c r="S6" s="16">
        <v>7</v>
      </c>
      <c r="T6" s="16"/>
      <c r="U6" s="72">
        <f t="shared" si="0"/>
        <v>92</v>
      </c>
      <c r="V6" s="73">
        <f t="shared" si="1"/>
        <v>6.1333333333333337</v>
      </c>
      <c r="W6" s="74"/>
      <c r="X6" s="72">
        <f>SUM('Nilai Tahriri'!AO4,'Nilai Syafahi'!U6)</f>
        <v>321</v>
      </c>
      <c r="Y6" s="73">
        <f>AVERAGE(D6:T6,'Nilai Tahriri'!D4:AN4)</f>
        <v>6.6875</v>
      </c>
      <c r="Z6" s="75">
        <f t="array" aca="1" ref="Z6" ca="1">SUM(IF(X6&lt;OFFSET($X$4,0,0,COUNT(X:X),1),1/COUNTIF(OFFSET($X$4,0,0,COUNT(X:X),1),OFFSET($X$4,0,0,COUNT(X:X),1))))+1</f>
        <v>7</v>
      </c>
      <c r="AA6" s="61" t="s">
        <v>274</v>
      </c>
    </row>
    <row r="7" spans="1:27" ht="15.5" x14ac:dyDescent="0.35">
      <c r="A7" s="71">
        <f>'Data Siswa'!A5</f>
        <v>4</v>
      </c>
      <c r="B7" s="78" t="str">
        <f>'Data Siswa'!B5</f>
        <v>ALWI RISFALDI</v>
      </c>
      <c r="C7" s="71" t="str">
        <f>'Data Siswa'!C5</f>
        <v>0511</v>
      </c>
      <c r="D7" s="16">
        <v>7</v>
      </c>
      <c r="E7" s="16">
        <v>6.5</v>
      </c>
      <c r="F7" s="16">
        <v>6</v>
      </c>
      <c r="G7" s="16">
        <v>7</v>
      </c>
      <c r="H7" s="16">
        <v>5.5</v>
      </c>
      <c r="I7" s="16"/>
      <c r="J7" s="16">
        <v>5</v>
      </c>
      <c r="K7" s="16">
        <v>4</v>
      </c>
      <c r="L7" s="16">
        <v>4</v>
      </c>
      <c r="M7" s="16">
        <v>4</v>
      </c>
      <c r="N7" s="16">
        <v>4</v>
      </c>
      <c r="O7" s="16">
        <v>5</v>
      </c>
      <c r="P7" s="16">
        <v>4</v>
      </c>
      <c r="Q7" s="16">
        <v>5.5</v>
      </c>
      <c r="R7" s="16">
        <v>4</v>
      </c>
      <c r="S7" s="16">
        <v>6</v>
      </c>
      <c r="T7" s="16"/>
      <c r="U7" s="72">
        <f t="shared" si="0"/>
        <v>77.5</v>
      </c>
      <c r="V7" s="73">
        <f t="shared" si="1"/>
        <v>5.166666666666667</v>
      </c>
      <c r="W7" s="74"/>
      <c r="X7" s="72">
        <f>SUM('Nilai Tahriri'!AO5,'Nilai Syafahi'!U7)</f>
        <v>293.2</v>
      </c>
      <c r="Y7" s="73">
        <f>AVERAGE(D7:T7,'Nilai Tahriri'!D5:AN5)</f>
        <v>6.1083333333333334</v>
      </c>
      <c r="Z7" s="75">
        <f t="array" aca="1" ref="Z7" ca="1">SUM(IF(X7&lt;OFFSET($X$4,0,0,COUNT(X:X),1),1/COUNTIF(OFFSET($X$4,0,0,COUNT(X:X),1),OFFSET($X$4,0,0,COUNT(X:X),1))))+1</f>
        <v>14</v>
      </c>
      <c r="AA7" s="61" t="s">
        <v>274</v>
      </c>
    </row>
    <row r="8" spans="1:27" ht="15.5" x14ac:dyDescent="0.35">
      <c r="A8" s="71">
        <f>'Data Siswa'!A6</f>
        <v>5</v>
      </c>
      <c r="B8" s="78" t="str">
        <f>'Data Siswa'!B6</f>
        <v>DAIVA WAHYU AJI ARDIAN</v>
      </c>
      <c r="C8" s="71" t="str">
        <f>'Data Siswa'!C6</f>
        <v>0512</v>
      </c>
      <c r="D8" s="16">
        <v>5</v>
      </c>
      <c r="E8" s="16">
        <v>7</v>
      </c>
      <c r="F8" s="16">
        <v>6.5</v>
      </c>
      <c r="G8" s="16">
        <v>6</v>
      </c>
      <c r="H8" s="16">
        <v>5.5</v>
      </c>
      <c r="I8" s="16"/>
      <c r="J8" s="16">
        <v>7</v>
      </c>
      <c r="K8" s="16">
        <v>7.5</v>
      </c>
      <c r="L8" s="16">
        <v>7.5</v>
      </c>
      <c r="M8" s="16">
        <v>7.5</v>
      </c>
      <c r="N8" s="16">
        <v>7</v>
      </c>
      <c r="O8" s="16">
        <v>6</v>
      </c>
      <c r="P8" s="16">
        <v>8</v>
      </c>
      <c r="Q8" s="16">
        <v>6</v>
      </c>
      <c r="R8" s="16">
        <v>4</v>
      </c>
      <c r="S8" s="16">
        <v>6</v>
      </c>
      <c r="T8" s="16"/>
      <c r="U8" s="72">
        <f t="shared" si="0"/>
        <v>96.5</v>
      </c>
      <c r="V8" s="73">
        <f t="shared" si="1"/>
        <v>6.4333333333333336</v>
      </c>
      <c r="W8" s="74"/>
      <c r="X8" s="72">
        <f>SUM('Nilai Tahriri'!AO6,'Nilai Syafahi'!U8)</f>
        <v>301.5</v>
      </c>
      <c r="Y8" s="73">
        <f>AVERAGE(D8:T8,'Nilai Tahriri'!D6:AN6)</f>
        <v>6.28125</v>
      </c>
      <c r="Z8" s="75">
        <f t="array" aca="1" ref="Z8" ca="1">SUM(IF(X8&lt;OFFSET($X$4,0,0,COUNT(X:X),1),1/COUNTIF(OFFSET($X$4,0,0,COUNT(X:X),1),OFFSET($X$4,0,0,COUNT(X:X),1))))+1</f>
        <v>11</v>
      </c>
      <c r="AA8" s="61" t="s">
        <v>274</v>
      </c>
    </row>
    <row r="9" spans="1:27" ht="15.5" x14ac:dyDescent="0.35">
      <c r="A9" s="71">
        <f>'Data Siswa'!A7</f>
        <v>6</v>
      </c>
      <c r="B9" s="78" t="str">
        <f>'Data Siswa'!B7</f>
        <v>FALIH KHAIRAN AL GHANI</v>
      </c>
      <c r="C9" s="71" t="str">
        <f>'Data Siswa'!C7</f>
        <v>0513</v>
      </c>
      <c r="D9" s="16">
        <v>5</v>
      </c>
      <c r="E9" s="16">
        <v>4</v>
      </c>
      <c r="F9" s="16">
        <v>4.5</v>
      </c>
      <c r="G9" s="16">
        <v>6</v>
      </c>
      <c r="H9" s="16">
        <v>5.5</v>
      </c>
      <c r="I9" s="16"/>
      <c r="J9" s="16">
        <v>4.5</v>
      </c>
      <c r="K9" s="16">
        <v>4.5</v>
      </c>
      <c r="L9" s="16">
        <v>4.5</v>
      </c>
      <c r="M9" s="16">
        <v>4.5</v>
      </c>
      <c r="N9" s="16">
        <v>4</v>
      </c>
      <c r="O9" s="16">
        <v>5.5</v>
      </c>
      <c r="P9" s="16">
        <v>4.5</v>
      </c>
      <c r="Q9" s="16">
        <v>6</v>
      </c>
      <c r="R9" s="16">
        <v>4</v>
      </c>
      <c r="S9" s="16">
        <v>5.5</v>
      </c>
      <c r="T9" s="16"/>
      <c r="U9" s="72">
        <f t="shared" si="0"/>
        <v>72.5</v>
      </c>
      <c r="V9" s="73">
        <f t="shared" si="1"/>
        <v>4.833333333333333</v>
      </c>
      <c r="W9" s="74"/>
      <c r="X9" s="72">
        <f>SUM('Nilai Tahriri'!AO7,'Nilai Syafahi'!U9)</f>
        <v>272.3</v>
      </c>
      <c r="Y9" s="73">
        <f>AVERAGE(D9:T9,'Nilai Tahriri'!D7:AN7)</f>
        <v>5.6729166666666666</v>
      </c>
      <c r="Z9" s="75">
        <f t="array" aca="1" ref="Z9" ca="1">SUM(IF(X9&lt;OFFSET($X$4,0,0,COUNT(X:X),1),1/COUNTIF(OFFSET($X$4,0,0,COUNT(X:X),1),OFFSET($X$4,0,0,COUNT(X:X),1))))+1</f>
        <v>23</v>
      </c>
      <c r="AA9" s="61" t="s">
        <v>274</v>
      </c>
    </row>
    <row r="10" spans="1:27" ht="15.5" x14ac:dyDescent="0.35">
      <c r="A10" s="71">
        <f>'Data Siswa'!A8</f>
        <v>7</v>
      </c>
      <c r="B10" s="78" t="str">
        <f>'Data Siswa'!B8</f>
        <v>KHOLIL IBRAHIM</v>
      </c>
      <c r="C10" s="71" t="str">
        <f>'Data Siswa'!C8</f>
        <v>0514</v>
      </c>
      <c r="D10" s="16">
        <v>6</v>
      </c>
      <c r="E10" s="16">
        <v>7</v>
      </c>
      <c r="F10" s="16">
        <v>6.5</v>
      </c>
      <c r="G10" s="16">
        <v>6</v>
      </c>
      <c r="H10" s="16">
        <v>5</v>
      </c>
      <c r="I10" s="16"/>
      <c r="J10" s="16">
        <v>4</v>
      </c>
      <c r="K10" s="16">
        <v>4</v>
      </c>
      <c r="L10" s="16">
        <v>4</v>
      </c>
      <c r="M10" s="16">
        <v>4</v>
      </c>
      <c r="N10" s="16">
        <v>4</v>
      </c>
      <c r="O10" s="16">
        <v>5.5</v>
      </c>
      <c r="P10" s="16">
        <v>7</v>
      </c>
      <c r="Q10" s="16">
        <v>5</v>
      </c>
      <c r="R10" s="16">
        <v>4</v>
      </c>
      <c r="S10" s="16">
        <v>6</v>
      </c>
      <c r="T10" s="16"/>
      <c r="U10" s="72">
        <f t="shared" si="0"/>
        <v>78</v>
      </c>
      <c r="V10" s="73">
        <f t="shared" si="1"/>
        <v>5.2</v>
      </c>
      <c r="W10" s="74"/>
      <c r="X10" s="72">
        <f>SUM('Nilai Tahriri'!AO8,'Nilai Syafahi'!U10)</f>
        <v>281.5</v>
      </c>
      <c r="Y10" s="73">
        <f>AVERAGE(D10:T10,'Nilai Tahriri'!D8:AN8)</f>
        <v>5.864583333333333</v>
      </c>
      <c r="Z10" s="75">
        <f t="array" aca="1" ref="Z10" ca="1">SUM(IF(X10&lt;OFFSET($X$4,0,0,COUNT(X:X),1),1/COUNTIF(OFFSET($X$4,0,0,COUNT(X:X),1),OFFSET($X$4,0,0,COUNT(X:X),1))))+1</f>
        <v>21</v>
      </c>
      <c r="AA10" s="61" t="s">
        <v>274</v>
      </c>
    </row>
    <row r="11" spans="1:27" ht="15.5" x14ac:dyDescent="0.35">
      <c r="A11" s="71">
        <f>'Data Siswa'!A9</f>
        <v>8</v>
      </c>
      <c r="B11" s="78" t="str">
        <f>'Data Siswa'!B9</f>
        <v>MUHAMAD IRFAN HABIB AL JAUHAR</v>
      </c>
      <c r="C11" s="71" t="str">
        <f>'Data Siswa'!C9</f>
        <v>0515</v>
      </c>
      <c r="D11" s="16">
        <v>7</v>
      </c>
      <c r="E11" s="16">
        <v>6</v>
      </c>
      <c r="F11" s="16">
        <v>6</v>
      </c>
      <c r="G11" s="16">
        <v>7</v>
      </c>
      <c r="H11" s="16">
        <v>5.5</v>
      </c>
      <c r="I11" s="16"/>
      <c r="J11" s="16">
        <v>4.5</v>
      </c>
      <c r="K11" s="16">
        <v>4.5</v>
      </c>
      <c r="L11" s="16">
        <v>4.5</v>
      </c>
      <c r="M11" s="16">
        <v>4.5</v>
      </c>
      <c r="N11" s="16">
        <v>4</v>
      </c>
      <c r="O11" s="16">
        <v>6</v>
      </c>
      <c r="P11" s="16">
        <v>4</v>
      </c>
      <c r="Q11" s="16">
        <v>5</v>
      </c>
      <c r="R11" s="16">
        <v>4</v>
      </c>
      <c r="S11" s="16">
        <v>6</v>
      </c>
      <c r="T11" s="16"/>
      <c r="U11" s="72">
        <f t="shared" si="0"/>
        <v>78.5</v>
      </c>
      <c r="V11" s="73">
        <f t="shared" si="1"/>
        <v>5.2333333333333334</v>
      </c>
      <c r="W11" s="74"/>
      <c r="X11" s="72">
        <f>SUM('Nilai Tahriri'!AO9,'Nilai Syafahi'!U11)</f>
        <v>289.89999999999998</v>
      </c>
      <c r="Y11" s="73">
        <f>AVERAGE(D11:T11,'Nilai Tahriri'!D9:AN9)</f>
        <v>6.0395833333333329</v>
      </c>
      <c r="Z11" s="75">
        <f t="array" aca="1" ref="Z11" ca="1">SUM(IF(X11&lt;OFFSET($X$4,0,0,COUNT(X:X),1),1/COUNTIF(OFFSET($X$4,0,0,COUNT(X:X),1),OFFSET($X$4,0,0,COUNT(X:X),1))))+1</f>
        <v>15</v>
      </c>
      <c r="AA11" s="61" t="s">
        <v>274</v>
      </c>
    </row>
    <row r="12" spans="1:27" ht="15.5" x14ac:dyDescent="0.35">
      <c r="A12" s="71">
        <f>'Data Siswa'!A10</f>
        <v>9</v>
      </c>
      <c r="B12" s="78" t="str">
        <f>'Data Siswa'!B10</f>
        <v>MUHAMAD IRSAN APRIANSYAH</v>
      </c>
      <c r="C12" s="71" t="str">
        <f>'Data Siswa'!C10</f>
        <v>0516</v>
      </c>
      <c r="D12" s="16">
        <v>8</v>
      </c>
      <c r="E12" s="16">
        <v>6</v>
      </c>
      <c r="F12" s="16">
        <v>6</v>
      </c>
      <c r="G12" s="16">
        <v>8</v>
      </c>
      <c r="H12" s="16">
        <v>6</v>
      </c>
      <c r="I12" s="16"/>
      <c r="J12" s="16">
        <v>7</v>
      </c>
      <c r="K12" s="16">
        <v>6.5</v>
      </c>
      <c r="L12" s="16">
        <v>6.5</v>
      </c>
      <c r="M12" s="16">
        <v>6.5</v>
      </c>
      <c r="N12" s="16">
        <v>6.5</v>
      </c>
      <c r="O12" s="16">
        <v>7</v>
      </c>
      <c r="P12" s="16">
        <v>7.5</v>
      </c>
      <c r="Q12" s="16">
        <v>6</v>
      </c>
      <c r="R12" s="16">
        <v>4</v>
      </c>
      <c r="S12" s="16">
        <v>6</v>
      </c>
      <c r="T12" s="16"/>
      <c r="U12" s="72">
        <f t="shared" si="0"/>
        <v>97.5</v>
      </c>
      <c r="V12" s="73">
        <f t="shared" si="1"/>
        <v>6.5</v>
      </c>
      <c r="W12" s="74"/>
      <c r="X12" s="72">
        <f>SUM('Nilai Tahriri'!AO10,'Nilai Syafahi'!U12)</f>
        <v>309.5</v>
      </c>
      <c r="Y12" s="73">
        <f>AVERAGE(D12:T12,'Nilai Tahriri'!D10:AN10)</f>
        <v>6.447916666666667</v>
      </c>
      <c r="Z12" s="75">
        <f t="array" aca="1" ref="Z12" ca="1">SUM(IF(X12&lt;OFFSET($X$4,0,0,COUNT(X:X),1),1/COUNTIF(OFFSET($X$4,0,0,COUNT(X:X),1),OFFSET($X$4,0,0,COUNT(X:X),1))))+1</f>
        <v>10</v>
      </c>
      <c r="AA12" s="61" t="s">
        <v>274</v>
      </c>
    </row>
    <row r="13" spans="1:27" ht="15.5" x14ac:dyDescent="0.35">
      <c r="A13" s="71">
        <f>'Data Siswa'!A11</f>
        <v>10</v>
      </c>
      <c r="B13" s="78" t="str">
        <f>'Data Siswa'!B11</f>
        <v>MUHAMAD ZIDAN BAWAZIER</v>
      </c>
      <c r="C13" s="71" t="str">
        <f>'Data Siswa'!C11</f>
        <v>0517</v>
      </c>
      <c r="D13" s="16">
        <v>7.5</v>
      </c>
      <c r="E13" s="16">
        <v>6.5</v>
      </c>
      <c r="F13" s="16">
        <v>7</v>
      </c>
      <c r="G13" s="16">
        <v>7</v>
      </c>
      <c r="H13" s="16">
        <v>6.5</v>
      </c>
      <c r="I13" s="16"/>
      <c r="J13" s="16">
        <v>6</v>
      </c>
      <c r="K13" s="16">
        <v>6</v>
      </c>
      <c r="L13" s="16">
        <v>6</v>
      </c>
      <c r="M13" s="16">
        <v>6</v>
      </c>
      <c r="N13" s="16">
        <v>6.5</v>
      </c>
      <c r="O13" s="16">
        <v>7.5</v>
      </c>
      <c r="P13" s="16">
        <v>8</v>
      </c>
      <c r="Q13" s="16">
        <v>6</v>
      </c>
      <c r="R13" s="16">
        <v>4</v>
      </c>
      <c r="S13" s="16">
        <v>7</v>
      </c>
      <c r="T13" s="16"/>
      <c r="U13" s="72">
        <f t="shared" si="0"/>
        <v>97.5</v>
      </c>
      <c r="V13" s="73">
        <f t="shared" si="1"/>
        <v>6.5</v>
      </c>
      <c r="W13" s="74"/>
      <c r="X13" s="72">
        <f>SUM('Nilai Tahriri'!AO11,'Nilai Syafahi'!U13)</f>
        <v>325.5</v>
      </c>
      <c r="Y13" s="73">
        <f>AVERAGE(D13:T13,'Nilai Tahriri'!D11:AN11)</f>
        <v>6.78125</v>
      </c>
      <c r="Z13" s="75">
        <f t="array" aca="1" ref="Z13" ca="1">SUM(IF(X13&lt;OFFSET($X$4,0,0,COUNT(X:X),1),1/COUNTIF(OFFSET($X$4,0,0,COUNT(X:X),1),OFFSET($X$4,0,0,COUNT(X:X),1))))+1</f>
        <v>5</v>
      </c>
      <c r="AA13" s="61" t="s">
        <v>274</v>
      </c>
    </row>
    <row r="14" spans="1:27" ht="15.5" x14ac:dyDescent="0.35">
      <c r="A14" s="71">
        <f>'Data Siswa'!A12</f>
        <v>11</v>
      </c>
      <c r="B14" s="78" t="str">
        <f>'Data Siswa'!B12</f>
        <v>MUHAMMAD DZAKY ARYA PRATAMA</v>
      </c>
      <c r="C14" s="71" t="str">
        <f>'Data Siswa'!C12</f>
        <v>0518</v>
      </c>
      <c r="D14" s="16">
        <v>6</v>
      </c>
      <c r="E14" s="16">
        <v>6.5</v>
      </c>
      <c r="F14" s="16">
        <v>7</v>
      </c>
      <c r="G14" s="16">
        <v>6.5</v>
      </c>
      <c r="H14" s="16">
        <v>6.5</v>
      </c>
      <c r="I14" s="16"/>
      <c r="J14" s="16">
        <v>7</v>
      </c>
      <c r="K14" s="16">
        <v>5</v>
      </c>
      <c r="L14" s="16">
        <v>5</v>
      </c>
      <c r="M14" s="16">
        <v>5</v>
      </c>
      <c r="N14" s="16">
        <v>5</v>
      </c>
      <c r="O14" s="16">
        <v>8</v>
      </c>
      <c r="P14" s="16">
        <v>8</v>
      </c>
      <c r="Q14" s="16">
        <v>6</v>
      </c>
      <c r="R14" s="16">
        <v>4</v>
      </c>
      <c r="S14" s="16">
        <v>7</v>
      </c>
      <c r="T14" s="16"/>
      <c r="U14" s="72">
        <f t="shared" si="0"/>
        <v>92.5</v>
      </c>
      <c r="V14" s="73">
        <f t="shared" si="1"/>
        <v>6.166666666666667</v>
      </c>
      <c r="W14" s="74"/>
      <c r="X14" s="72">
        <f>SUM('Nilai Tahriri'!AO12,'Nilai Syafahi'!U14)</f>
        <v>311.2</v>
      </c>
      <c r="Y14" s="73">
        <f>AVERAGE(D14:T14,'Nilai Tahriri'!D12:AN12)</f>
        <v>6.4833333333333334</v>
      </c>
      <c r="Z14" s="75">
        <f t="array" aca="1" ref="Z14" ca="1">SUM(IF(X14&lt;OFFSET($X$4,0,0,COUNT(X:X),1),1/COUNTIF(OFFSET($X$4,0,0,COUNT(X:X),1),OFFSET($X$4,0,0,COUNT(X:X),1))))+1</f>
        <v>9</v>
      </c>
      <c r="AA14" s="61" t="s">
        <v>274</v>
      </c>
    </row>
    <row r="15" spans="1:27" ht="15.5" x14ac:dyDescent="0.35">
      <c r="A15" s="71">
        <f>'Data Siswa'!A13</f>
        <v>12</v>
      </c>
      <c r="B15" s="78" t="str">
        <f>'Data Siswa'!B13</f>
        <v>MUHAMMAD LUCKY LUKMAN</v>
      </c>
      <c r="C15" s="71" t="str">
        <f>'Data Siswa'!C13</f>
        <v>0519</v>
      </c>
      <c r="D15" s="16">
        <v>8</v>
      </c>
      <c r="E15" s="16">
        <v>7</v>
      </c>
      <c r="F15" s="16">
        <v>7</v>
      </c>
      <c r="G15" s="16">
        <v>8</v>
      </c>
      <c r="H15" s="16">
        <v>7</v>
      </c>
      <c r="I15" s="16"/>
      <c r="J15" s="16">
        <v>7</v>
      </c>
      <c r="K15" s="16">
        <v>7.5</v>
      </c>
      <c r="L15" s="16">
        <v>7.5</v>
      </c>
      <c r="M15" s="16">
        <v>7.5</v>
      </c>
      <c r="N15" s="16">
        <v>7</v>
      </c>
      <c r="O15" s="16">
        <v>8</v>
      </c>
      <c r="P15" s="16">
        <v>8</v>
      </c>
      <c r="Q15" s="16">
        <v>7.5</v>
      </c>
      <c r="R15" s="16">
        <v>7</v>
      </c>
      <c r="S15" s="16">
        <v>7</v>
      </c>
      <c r="T15" s="16"/>
      <c r="U15" s="72">
        <f t="shared" si="0"/>
        <v>111</v>
      </c>
      <c r="V15" s="73">
        <f t="shared" si="1"/>
        <v>7.4</v>
      </c>
      <c r="W15" s="74"/>
      <c r="X15" s="72">
        <f>SUM('Nilai Tahriri'!AO13,'Nilai Syafahi'!U15)</f>
        <v>357.7</v>
      </c>
      <c r="Y15" s="73">
        <f>AVERAGE(D15:T15,'Nilai Tahriri'!D13:AN13)</f>
        <v>7.4520833333333334</v>
      </c>
      <c r="Z15" s="75">
        <f t="array" aca="1" ref="Z15" ca="1">SUM(IF(X15&lt;OFFSET($X$4,0,0,COUNT(X:X),1),1/COUNTIF(OFFSET($X$4,0,0,COUNT(X:X),1),OFFSET($X$4,0,0,COUNT(X:X),1))))+1</f>
        <v>1</v>
      </c>
      <c r="AA15" s="61" t="s">
        <v>274</v>
      </c>
    </row>
    <row r="16" spans="1:27" ht="15.5" x14ac:dyDescent="0.35">
      <c r="A16" s="71">
        <f>'Data Siswa'!A14</f>
        <v>13</v>
      </c>
      <c r="B16" s="78" t="str">
        <f>'Data Siswa'!B14</f>
        <v>MUHAMMAD NUFRIZAL</v>
      </c>
      <c r="C16" s="71" t="str">
        <f>'Data Siswa'!C14</f>
        <v>0520</v>
      </c>
      <c r="D16" s="16">
        <v>7</v>
      </c>
      <c r="E16" s="16">
        <v>5.5</v>
      </c>
      <c r="F16" s="16">
        <v>6</v>
      </c>
      <c r="G16" s="16">
        <v>7</v>
      </c>
      <c r="H16" s="16">
        <v>5.5</v>
      </c>
      <c r="I16" s="16"/>
      <c r="J16" s="16">
        <v>4.5</v>
      </c>
      <c r="K16" s="16">
        <v>4</v>
      </c>
      <c r="L16" s="16">
        <v>4</v>
      </c>
      <c r="M16" s="16">
        <v>4</v>
      </c>
      <c r="N16" s="16">
        <v>4</v>
      </c>
      <c r="O16" s="16">
        <v>7</v>
      </c>
      <c r="P16" s="16">
        <v>6.5</v>
      </c>
      <c r="Q16" s="16">
        <v>5</v>
      </c>
      <c r="R16" s="16">
        <v>5</v>
      </c>
      <c r="S16" s="16">
        <v>6</v>
      </c>
      <c r="T16" s="16"/>
      <c r="U16" s="72">
        <f t="shared" si="0"/>
        <v>81</v>
      </c>
      <c r="V16" s="73">
        <f t="shared" si="1"/>
        <v>5.4</v>
      </c>
      <c r="W16" s="74"/>
      <c r="X16" s="72">
        <f>SUM('Nilai Tahriri'!AO14,'Nilai Syafahi'!U16)</f>
        <v>286.8</v>
      </c>
      <c r="Y16" s="73">
        <f>AVERAGE(D16:T16,'Nilai Tahriri'!D14:AN14)</f>
        <v>5.9750000000000005</v>
      </c>
      <c r="Z16" s="75">
        <f t="array" aca="1" ref="Z16" ca="1">SUM(IF(X16&lt;OFFSET($X$4,0,0,COUNT(X:X),1),1/COUNTIF(OFFSET($X$4,0,0,COUNT(X:X),1),OFFSET($X$4,0,0,COUNT(X:X),1))))+1</f>
        <v>17</v>
      </c>
      <c r="AA16" s="61" t="s">
        <v>274</v>
      </c>
    </row>
    <row r="17" spans="1:27" ht="15.5" x14ac:dyDescent="0.35">
      <c r="A17" s="71">
        <f>'Data Siswa'!A15</f>
        <v>14</v>
      </c>
      <c r="B17" s="78" t="str">
        <f>'Data Siswa'!B15</f>
        <v>MUHAMMAD RIZKI RAMADHANI</v>
      </c>
      <c r="C17" s="71" t="str">
        <f>'Data Siswa'!C15</f>
        <v>0521</v>
      </c>
      <c r="D17" s="16">
        <v>7</v>
      </c>
      <c r="E17" s="16">
        <v>6</v>
      </c>
      <c r="F17" s="16">
        <v>6</v>
      </c>
      <c r="G17" s="16">
        <v>6.5</v>
      </c>
      <c r="H17" s="16">
        <v>6</v>
      </c>
      <c r="I17" s="16"/>
      <c r="J17" s="16">
        <v>5</v>
      </c>
      <c r="K17" s="16">
        <v>5</v>
      </c>
      <c r="L17" s="16">
        <v>5</v>
      </c>
      <c r="M17" s="16">
        <v>5</v>
      </c>
      <c r="N17" s="16">
        <v>5</v>
      </c>
      <c r="O17" s="16">
        <v>5</v>
      </c>
      <c r="P17" s="16">
        <v>6</v>
      </c>
      <c r="Q17" s="16">
        <v>4.5</v>
      </c>
      <c r="R17" s="16">
        <v>4</v>
      </c>
      <c r="S17" s="16">
        <v>6</v>
      </c>
      <c r="T17" s="16"/>
      <c r="U17" s="72">
        <f t="shared" si="0"/>
        <v>82</v>
      </c>
      <c r="V17" s="73">
        <f t="shared" si="1"/>
        <v>5.4666666666666668</v>
      </c>
      <c r="W17" s="74"/>
      <c r="X17" s="72">
        <f>SUM('Nilai Tahriri'!AO15,'Nilai Syafahi'!U17)</f>
        <v>285.7</v>
      </c>
      <c r="Y17" s="73">
        <f>AVERAGE(D17:T17,'Nilai Tahriri'!D15:AN15)</f>
        <v>5.9520833333333334</v>
      </c>
      <c r="Z17" s="75">
        <f t="array" aca="1" ref="Z17" ca="1">SUM(IF(X17&lt;OFFSET($X$4,0,0,COUNT(X:X),1),1/COUNTIF(OFFSET($X$4,0,0,COUNT(X:X),1),OFFSET($X$4,0,0,COUNT(X:X),1))))+1</f>
        <v>18</v>
      </c>
      <c r="AA17" s="61" t="s">
        <v>274</v>
      </c>
    </row>
    <row r="18" spans="1:27" ht="15.5" x14ac:dyDescent="0.35">
      <c r="A18" s="71">
        <f>'Data Siswa'!A16</f>
        <v>15</v>
      </c>
      <c r="B18" s="78" t="str">
        <f>'Data Siswa'!B16</f>
        <v>MUHAMMAD ZAKI ALGIFARI</v>
      </c>
      <c r="C18" s="71" t="str">
        <f>'Data Siswa'!C16</f>
        <v>0522</v>
      </c>
      <c r="D18" s="16">
        <v>8</v>
      </c>
      <c r="E18" s="16">
        <v>8</v>
      </c>
      <c r="F18" s="16">
        <v>8</v>
      </c>
      <c r="G18" s="16">
        <v>8</v>
      </c>
      <c r="H18" s="16">
        <v>7</v>
      </c>
      <c r="I18" s="16"/>
      <c r="J18" s="16">
        <v>6</v>
      </c>
      <c r="K18" s="16">
        <v>6</v>
      </c>
      <c r="L18" s="16">
        <v>6</v>
      </c>
      <c r="M18" s="16">
        <v>6</v>
      </c>
      <c r="N18" s="16">
        <v>5.5</v>
      </c>
      <c r="O18" s="16">
        <v>8</v>
      </c>
      <c r="P18" s="16">
        <v>7.5</v>
      </c>
      <c r="Q18" s="16">
        <v>6</v>
      </c>
      <c r="R18" s="16">
        <v>6</v>
      </c>
      <c r="S18" s="16">
        <v>7</v>
      </c>
      <c r="T18" s="16"/>
      <c r="U18" s="72">
        <f t="shared" si="0"/>
        <v>103</v>
      </c>
      <c r="V18" s="73">
        <f t="shared" si="1"/>
        <v>6.8666666666666663</v>
      </c>
      <c r="W18" s="74"/>
      <c r="X18" s="72">
        <f>SUM('Nilai Tahriri'!AO16,'Nilai Syafahi'!U18)</f>
        <v>333</v>
      </c>
      <c r="Y18" s="73">
        <f>AVERAGE(D18:T18,'Nilai Tahriri'!D16:AN16)</f>
        <v>6.9375</v>
      </c>
      <c r="Z18" s="75">
        <f t="array" aca="1" ref="Z18" ca="1">SUM(IF(X18&lt;OFFSET($X$4,0,0,COUNT(X:X),1),1/COUNTIF(OFFSET($X$4,0,0,COUNT(X:X),1),OFFSET($X$4,0,0,COUNT(X:X),1))))+1</f>
        <v>3</v>
      </c>
      <c r="AA18" s="61" t="s">
        <v>274</v>
      </c>
    </row>
    <row r="19" spans="1:27" ht="15.5" x14ac:dyDescent="0.35">
      <c r="A19" s="71">
        <f>'Data Siswa'!A17</f>
        <v>16</v>
      </c>
      <c r="B19" s="78" t="str">
        <f>'Data Siswa'!B17</f>
        <v>NAZID ZULFA NOOR</v>
      </c>
      <c r="C19" s="71" t="str">
        <f>'Data Siswa'!C17</f>
        <v>0523</v>
      </c>
      <c r="D19" s="16">
        <v>8</v>
      </c>
      <c r="E19" s="16">
        <v>7</v>
      </c>
      <c r="F19" s="16">
        <v>7</v>
      </c>
      <c r="G19" s="16">
        <v>7.5</v>
      </c>
      <c r="H19" s="16">
        <v>6.5</v>
      </c>
      <c r="I19" s="16"/>
      <c r="J19" s="16">
        <v>7</v>
      </c>
      <c r="K19" s="16">
        <v>6</v>
      </c>
      <c r="L19" s="16">
        <v>6</v>
      </c>
      <c r="M19" s="16">
        <v>6</v>
      </c>
      <c r="N19" s="16">
        <v>5.5</v>
      </c>
      <c r="O19" s="16">
        <v>7</v>
      </c>
      <c r="P19" s="16">
        <v>8</v>
      </c>
      <c r="Q19" s="16">
        <v>6</v>
      </c>
      <c r="R19" s="16">
        <v>6</v>
      </c>
      <c r="S19" s="16">
        <v>7</v>
      </c>
      <c r="T19" s="16"/>
      <c r="U19" s="72">
        <f t="shared" si="0"/>
        <v>100.5</v>
      </c>
      <c r="V19" s="73">
        <f t="shared" si="1"/>
        <v>6.7</v>
      </c>
      <c r="W19" s="74"/>
      <c r="X19" s="72">
        <f>SUM('Nilai Tahriri'!AO17,'Nilai Syafahi'!U19)</f>
        <v>337.5</v>
      </c>
      <c r="Y19" s="73">
        <f>AVERAGE(D19:T19,'Nilai Tahriri'!D17:AN17)</f>
        <v>7.03125</v>
      </c>
      <c r="Z19" s="75">
        <f t="array" aca="1" ref="Z19" ca="1">SUM(IF(X19&lt;OFFSET($X$4,0,0,COUNT(X:X),1),1/COUNTIF(OFFSET($X$4,0,0,COUNT(X:X),1),OFFSET($X$4,0,0,COUNT(X:X),1))))+1</f>
        <v>2</v>
      </c>
      <c r="AA19" s="61" t="s">
        <v>274</v>
      </c>
    </row>
    <row r="20" spans="1:27" ht="15.5" x14ac:dyDescent="0.35">
      <c r="A20" s="71">
        <f>'Data Siswa'!A18</f>
        <v>17</v>
      </c>
      <c r="B20" s="78" t="str">
        <f>'Data Siswa'!B18</f>
        <v>NIBRAAS CAHYA GEMILANG</v>
      </c>
      <c r="C20" s="71" t="str">
        <f>'Data Siswa'!C18</f>
        <v>0524</v>
      </c>
      <c r="D20" s="16">
        <v>6.5</v>
      </c>
      <c r="E20" s="16">
        <v>4.5</v>
      </c>
      <c r="F20" s="16">
        <v>4.5</v>
      </c>
      <c r="G20" s="16">
        <v>6</v>
      </c>
      <c r="H20" s="16">
        <v>5</v>
      </c>
      <c r="I20" s="16"/>
      <c r="J20" s="16">
        <v>7</v>
      </c>
      <c r="K20" s="16">
        <v>7</v>
      </c>
      <c r="L20" s="16">
        <v>7</v>
      </c>
      <c r="M20" s="16">
        <v>7</v>
      </c>
      <c r="N20" s="16">
        <v>6</v>
      </c>
      <c r="O20" s="16">
        <v>5</v>
      </c>
      <c r="P20" s="16">
        <v>7.5</v>
      </c>
      <c r="Q20" s="16">
        <v>5</v>
      </c>
      <c r="R20" s="16">
        <v>4</v>
      </c>
      <c r="S20" s="16">
        <v>5.5</v>
      </c>
      <c r="T20" s="16"/>
      <c r="U20" s="72">
        <f t="shared" si="0"/>
        <v>87.5</v>
      </c>
      <c r="V20" s="73">
        <f t="shared" si="1"/>
        <v>5.833333333333333</v>
      </c>
      <c r="W20" s="74"/>
      <c r="X20" s="72">
        <f>SUM('Nilai Tahriri'!AO18,'Nilai Syafahi'!U20)</f>
        <v>284.2</v>
      </c>
      <c r="Y20" s="73">
        <f>AVERAGE(D20:T20,'Nilai Tahriri'!D18:AN18)</f>
        <v>5.9208333333333334</v>
      </c>
      <c r="Z20" s="75">
        <f t="array" aca="1" ref="Z20" ca="1">SUM(IF(X20&lt;OFFSET($X$4,0,0,COUNT(X:X),1),1/COUNTIF(OFFSET($X$4,0,0,COUNT(X:X),1),OFFSET($X$4,0,0,COUNT(X:X),1))))+1</f>
        <v>19</v>
      </c>
      <c r="AA20" s="61" t="s">
        <v>274</v>
      </c>
    </row>
    <row r="21" spans="1:27" ht="15.5" x14ac:dyDescent="0.35">
      <c r="A21" s="71">
        <f>'Data Siswa'!A19</f>
        <v>18</v>
      </c>
      <c r="B21" s="78" t="str">
        <f>'Data Siswa'!B19</f>
        <v>REFALDI</v>
      </c>
      <c r="C21" s="71" t="str">
        <f>'Data Siswa'!C19</f>
        <v>0525</v>
      </c>
      <c r="D21" s="16">
        <v>5.5</v>
      </c>
      <c r="E21" s="16">
        <v>5</v>
      </c>
      <c r="F21" s="16">
        <v>5</v>
      </c>
      <c r="G21" s="16">
        <v>6</v>
      </c>
      <c r="H21" s="16">
        <v>5.5</v>
      </c>
      <c r="I21" s="16"/>
      <c r="J21" s="16">
        <v>5</v>
      </c>
      <c r="K21" s="16">
        <v>5</v>
      </c>
      <c r="L21" s="16">
        <v>5</v>
      </c>
      <c r="M21" s="16">
        <v>5</v>
      </c>
      <c r="N21" s="16">
        <v>4.5</v>
      </c>
      <c r="O21" s="16">
        <v>6.5</v>
      </c>
      <c r="P21" s="16">
        <v>4</v>
      </c>
      <c r="Q21" s="16">
        <v>5</v>
      </c>
      <c r="R21" s="16">
        <v>4</v>
      </c>
      <c r="S21" s="16">
        <v>5.5</v>
      </c>
      <c r="T21" s="16"/>
      <c r="U21" s="72">
        <f t="shared" si="0"/>
        <v>76.5</v>
      </c>
      <c r="V21" s="73">
        <f t="shared" si="1"/>
        <v>5.0999999999999996</v>
      </c>
      <c r="W21" s="74"/>
      <c r="X21" s="72">
        <f>SUM('Nilai Tahriri'!AO19,'Nilai Syafahi'!U21)</f>
        <v>277.5</v>
      </c>
      <c r="Y21" s="73">
        <f>AVERAGE(D21:T21,'Nilai Tahriri'!D19:AN19)</f>
        <v>5.78125</v>
      </c>
      <c r="Z21" s="75">
        <f t="array" aca="1" ref="Z21" ca="1">SUM(IF(X21&lt;OFFSET($X$4,0,0,COUNT(X:X),1),1/COUNTIF(OFFSET($X$4,0,0,COUNT(X:X),1),OFFSET($X$4,0,0,COUNT(X:X),1))))+1</f>
        <v>22</v>
      </c>
      <c r="AA21" s="61" t="s">
        <v>274</v>
      </c>
    </row>
    <row r="22" spans="1:27" ht="15.5" x14ac:dyDescent="0.35">
      <c r="A22" s="71">
        <f>'Data Siswa'!A20</f>
        <v>19</v>
      </c>
      <c r="B22" s="78" t="str">
        <f>'Data Siswa'!B20</f>
        <v>RIZKY ARIF FIRMANSYAH</v>
      </c>
      <c r="C22" s="71" t="str">
        <f>'Data Siswa'!C20</f>
        <v>0526</v>
      </c>
      <c r="D22" s="16">
        <v>8</v>
      </c>
      <c r="E22" s="16">
        <v>8</v>
      </c>
      <c r="F22" s="16">
        <v>8</v>
      </c>
      <c r="G22" s="16">
        <v>8</v>
      </c>
      <c r="H22" s="16">
        <v>7</v>
      </c>
      <c r="I22" s="16"/>
      <c r="J22" s="16">
        <v>5</v>
      </c>
      <c r="K22" s="16">
        <v>6.5</v>
      </c>
      <c r="L22" s="16">
        <v>6.5</v>
      </c>
      <c r="M22" s="16">
        <v>6.5</v>
      </c>
      <c r="N22" s="16">
        <v>5</v>
      </c>
      <c r="O22" s="16">
        <v>8</v>
      </c>
      <c r="P22" s="16">
        <v>8</v>
      </c>
      <c r="Q22" s="16">
        <v>6</v>
      </c>
      <c r="R22" s="16">
        <v>4</v>
      </c>
      <c r="S22" s="16">
        <v>7</v>
      </c>
      <c r="T22" s="16"/>
      <c r="U22" s="72">
        <f t="shared" si="0"/>
        <v>101.5</v>
      </c>
      <c r="V22" s="73">
        <f t="shared" si="1"/>
        <v>6.7666666666666666</v>
      </c>
      <c r="W22" s="74"/>
      <c r="X22" s="72">
        <f>SUM('Nilai Tahriri'!AO20,'Nilai Syafahi'!U22)</f>
        <v>325.2</v>
      </c>
      <c r="Y22" s="73">
        <f>AVERAGE(D22:T22,'Nilai Tahriri'!D20:AN20)</f>
        <v>6.7749999999999995</v>
      </c>
      <c r="Z22" s="75">
        <f t="array" aca="1" ref="Z22" ca="1">SUM(IF(X22&lt;OFFSET($X$4,0,0,COUNT(X:X),1),1/COUNTIF(OFFSET($X$4,0,0,COUNT(X:X),1),OFFSET($X$4,0,0,COUNT(X:X),1))))+1</f>
        <v>6</v>
      </c>
      <c r="AA22" s="61" t="s">
        <v>274</v>
      </c>
    </row>
    <row r="23" spans="1:27" ht="15.5" x14ac:dyDescent="0.35">
      <c r="A23" s="71">
        <f>'Data Siswa'!A21</f>
        <v>20</v>
      </c>
      <c r="B23" s="78" t="str">
        <f>'Data Siswa'!B21</f>
        <v>SAKTIAJI AL-BAQRY</v>
      </c>
      <c r="C23" s="71" t="str">
        <f>'Data Siswa'!C21</f>
        <v>0527</v>
      </c>
      <c r="D23" s="16">
        <v>6</v>
      </c>
      <c r="E23" s="16">
        <v>6</v>
      </c>
      <c r="F23" s="16">
        <v>6</v>
      </c>
      <c r="G23" s="16">
        <v>6.5</v>
      </c>
      <c r="H23" s="16">
        <v>5.5</v>
      </c>
      <c r="I23" s="16"/>
      <c r="J23" s="16">
        <v>5</v>
      </c>
      <c r="K23" s="16">
        <v>5</v>
      </c>
      <c r="L23" s="16">
        <v>5</v>
      </c>
      <c r="M23" s="16">
        <v>5</v>
      </c>
      <c r="N23" s="16">
        <v>4</v>
      </c>
      <c r="O23" s="16">
        <v>5.5</v>
      </c>
      <c r="P23" s="16">
        <v>6.5</v>
      </c>
      <c r="Q23" s="16">
        <v>6</v>
      </c>
      <c r="R23" s="16">
        <v>4</v>
      </c>
      <c r="S23" s="16">
        <v>6</v>
      </c>
      <c r="T23" s="16"/>
      <c r="U23" s="72">
        <f t="shared" si="0"/>
        <v>82</v>
      </c>
      <c r="V23" s="73">
        <f t="shared" si="1"/>
        <v>5.4666666666666668</v>
      </c>
      <c r="W23" s="74"/>
      <c r="X23" s="72">
        <f>SUM('Nilai Tahriri'!AO21,'Nilai Syafahi'!U23)</f>
        <v>289.8</v>
      </c>
      <c r="Y23" s="73">
        <f>AVERAGE(D23:T23,'Nilai Tahriri'!D21:AN21)</f>
        <v>6.0375000000000005</v>
      </c>
      <c r="Z23" s="75">
        <f t="array" aca="1" ref="Z23" ca="1">SUM(IF(X23&lt;OFFSET($X$4,0,0,COUNT(X:X),1),1/COUNTIF(OFFSET($X$4,0,0,COUNT(X:X),1),OFFSET($X$4,0,0,COUNT(X:X),1))))+1</f>
        <v>16</v>
      </c>
      <c r="AA23" s="61" t="s">
        <v>274</v>
      </c>
    </row>
    <row r="24" spans="1:27" ht="15.5" x14ac:dyDescent="0.35">
      <c r="A24" s="71">
        <f>'Data Siswa'!A22</f>
        <v>21</v>
      </c>
      <c r="B24" s="78" t="str">
        <f>'Data Siswa'!B22</f>
        <v>SUJENI TURANDI</v>
      </c>
      <c r="C24" s="71" t="str">
        <f>'Data Siswa'!C22</f>
        <v>0528</v>
      </c>
      <c r="D24" s="16">
        <v>7</v>
      </c>
      <c r="E24" s="16">
        <v>7</v>
      </c>
      <c r="F24" s="16">
        <v>7</v>
      </c>
      <c r="G24" s="16">
        <v>7</v>
      </c>
      <c r="H24" s="16">
        <v>6.5</v>
      </c>
      <c r="I24" s="16"/>
      <c r="J24" s="16">
        <v>4</v>
      </c>
      <c r="K24" s="16">
        <v>5.5</v>
      </c>
      <c r="L24" s="16">
        <v>5.5</v>
      </c>
      <c r="M24" s="16">
        <v>5.5</v>
      </c>
      <c r="N24" s="16">
        <v>4</v>
      </c>
      <c r="O24" s="16">
        <v>7</v>
      </c>
      <c r="P24" s="16">
        <v>8</v>
      </c>
      <c r="Q24" s="16">
        <v>6.5</v>
      </c>
      <c r="R24" s="16">
        <v>7</v>
      </c>
      <c r="S24" s="16">
        <v>7</v>
      </c>
      <c r="T24" s="16"/>
      <c r="U24" s="72">
        <f t="shared" si="0"/>
        <v>94.5</v>
      </c>
      <c r="V24" s="73">
        <f t="shared" si="1"/>
        <v>6.3</v>
      </c>
      <c r="W24" s="74"/>
      <c r="X24" s="72">
        <f>SUM('Nilai Tahriri'!AO22,'Nilai Syafahi'!U24)</f>
        <v>316.5</v>
      </c>
      <c r="Y24" s="73">
        <f>AVERAGE(D24:T24,'Nilai Tahriri'!D22:AN22)</f>
        <v>6.59375</v>
      </c>
      <c r="Z24" s="75">
        <f t="array" aca="1" ref="Z24" ca="1">SUM(IF(X24&lt;OFFSET($X$4,0,0,COUNT(X:X),1),1/COUNTIF(OFFSET($X$4,0,0,COUNT(X:X),1),OFFSET($X$4,0,0,COUNT(X:X),1))))+1</f>
        <v>8</v>
      </c>
      <c r="AA24" s="61" t="s">
        <v>274</v>
      </c>
    </row>
    <row r="25" spans="1:27" ht="15.5" x14ac:dyDescent="0.35">
      <c r="A25" s="71">
        <f>'Data Siswa'!A23</f>
        <v>22</v>
      </c>
      <c r="B25" s="78" t="str">
        <f>'Data Siswa'!B23</f>
        <v>SULTAN MAULANA FAHRI</v>
      </c>
      <c r="C25" s="71" t="str">
        <f>'Data Siswa'!C23</f>
        <v>0529</v>
      </c>
      <c r="D25" s="16">
        <v>7</v>
      </c>
      <c r="E25" s="16">
        <v>8</v>
      </c>
      <c r="F25" s="16">
        <v>8</v>
      </c>
      <c r="G25" s="16">
        <v>7</v>
      </c>
      <c r="H25" s="16">
        <v>6.5</v>
      </c>
      <c r="I25" s="16"/>
      <c r="J25" s="16">
        <v>6</v>
      </c>
      <c r="K25" s="16">
        <v>7</v>
      </c>
      <c r="L25" s="16">
        <v>7</v>
      </c>
      <c r="M25" s="16">
        <v>7</v>
      </c>
      <c r="N25" s="16">
        <v>5.5</v>
      </c>
      <c r="O25" s="16">
        <v>7.5</v>
      </c>
      <c r="P25" s="16">
        <v>4.5</v>
      </c>
      <c r="Q25" s="16">
        <v>6.5</v>
      </c>
      <c r="R25" s="16">
        <v>7</v>
      </c>
      <c r="S25" s="16">
        <v>7</v>
      </c>
      <c r="T25" s="16"/>
      <c r="U25" s="72">
        <f t="shared" si="0"/>
        <v>101.5</v>
      </c>
      <c r="V25" s="73">
        <f t="shared" si="1"/>
        <v>6.7666666666666666</v>
      </c>
      <c r="W25" s="74"/>
      <c r="X25" s="72">
        <f>SUM('Nilai Tahriri'!AO23,'Nilai Syafahi'!U25)</f>
        <v>331</v>
      </c>
      <c r="Y25" s="73">
        <f>AVERAGE(D25:T25,'Nilai Tahriri'!D23:AN23)</f>
        <v>6.895833333333333</v>
      </c>
      <c r="Z25" s="75">
        <f t="array" aca="1" ref="Z25" ca="1">SUM(IF(X25&lt;OFFSET($X$4,0,0,COUNT(X:X),1),1/COUNTIF(OFFSET($X$4,0,0,COUNT(X:X),1),OFFSET($X$4,0,0,COUNT(X:X),1))))+1</f>
        <v>4</v>
      </c>
      <c r="AA25" s="61" t="s">
        <v>274</v>
      </c>
    </row>
    <row r="26" spans="1:27" ht="15.5" x14ac:dyDescent="0.35">
      <c r="A26" s="71">
        <f>'Data Siswa'!A24</f>
        <v>23</v>
      </c>
      <c r="B26" s="78" t="str">
        <f>'Data Siswa'!B24</f>
        <v>YOGI PRATAMA</v>
      </c>
      <c r="C26" s="71" t="str">
        <f>'Data Siswa'!C24</f>
        <v>0530</v>
      </c>
      <c r="D26" s="16">
        <v>6.5</v>
      </c>
      <c r="E26" s="16">
        <v>8</v>
      </c>
      <c r="F26" s="16">
        <v>6</v>
      </c>
      <c r="G26" s="16">
        <v>6.5</v>
      </c>
      <c r="H26" s="16">
        <v>5</v>
      </c>
      <c r="I26" s="16"/>
      <c r="J26" s="16">
        <v>5</v>
      </c>
      <c r="K26" s="16">
        <v>6.5</v>
      </c>
      <c r="L26" s="16">
        <v>6.5</v>
      </c>
      <c r="M26" s="16">
        <v>6.5</v>
      </c>
      <c r="N26" s="16">
        <v>5.5</v>
      </c>
      <c r="O26" s="16">
        <v>6.5</v>
      </c>
      <c r="P26" s="16">
        <v>5</v>
      </c>
      <c r="Q26" s="16">
        <v>5</v>
      </c>
      <c r="R26" s="16">
        <v>5</v>
      </c>
      <c r="S26" s="16">
        <v>5.5</v>
      </c>
      <c r="T26" s="16"/>
      <c r="U26" s="72">
        <f t="shared" si="0"/>
        <v>89</v>
      </c>
      <c r="V26" s="73">
        <f t="shared" si="1"/>
        <v>5.9333333333333336</v>
      </c>
      <c r="W26" s="74"/>
      <c r="X26" s="72">
        <f>SUM('Nilai Tahriri'!AO24,'Nilai Syafahi'!U26)</f>
        <v>295</v>
      </c>
      <c r="Y26" s="73">
        <f>AVERAGE(D26:T26,'Nilai Tahriri'!D24:AN24)</f>
        <v>6.145833333333333</v>
      </c>
      <c r="Z26" s="75">
        <f t="array" aca="1" ref="Z26" ca="1">SUM(IF(X26&lt;OFFSET($X$4,0,0,COUNT(X:X),1),1/COUNTIF(OFFSET($X$4,0,0,COUNT(X:X),1),OFFSET($X$4,0,0,COUNT(X:X),1))))+1</f>
        <v>13</v>
      </c>
      <c r="AA26" s="61" t="s">
        <v>274</v>
      </c>
    </row>
    <row r="27" spans="1:27" ht="15.5" x14ac:dyDescent="0.35">
      <c r="A27" s="71">
        <f>'Data Siswa'!A25</f>
        <v>24</v>
      </c>
      <c r="B27" s="78">
        <f>'Data Siswa'!B25</f>
        <v>0</v>
      </c>
      <c r="C27" s="71">
        <f>'Data Siswa'!C25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2">
        <f t="shared" si="0"/>
        <v>0</v>
      </c>
      <c r="V27" s="73" t="e">
        <f t="shared" si="1"/>
        <v>#DIV/0!</v>
      </c>
      <c r="W27" s="74"/>
      <c r="X27" s="72">
        <f>SUM('Nilai Tahriri'!AO25,'Nilai Syafahi'!U27)</f>
        <v>0</v>
      </c>
      <c r="Y27" s="73" t="e">
        <f>AVERAGE(D27:T27,'Nilai Tahriri'!D25:AN25)</f>
        <v>#DIV/0!</v>
      </c>
      <c r="Z27" s="75">
        <f t="array" aca="1" ref="Z27" ca="1">SUM(IF(X27&lt;OFFSET($X$4,0,0,COUNT(X:X),1),1/COUNTIF(OFFSET($X$4,0,0,COUNT(X:X),1),OFFSET($X$4,0,0,COUNT(X:X),1))))+1</f>
        <v>24</v>
      </c>
      <c r="AA27" s="61" t="s">
        <v>274</v>
      </c>
    </row>
    <row r="28" spans="1:27" ht="15.5" x14ac:dyDescent="0.35">
      <c r="A28" s="71">
        <f>'Data Siswa'!A26</f>
        <v>25</v>
      </c>
      <c r="B28" s="78">
        <f>'Data Siswa'!B26</f>
        <v>0</v>
      </c>
      <c r="C28" s="71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2">
        <f t="shared" si="0"/>
        <v>0</v>
      </c>
      <c r="V28" s="73" t="e">
        <f t="shared" si="1"/>
        <v>#DIV/0!</v>
      </c>
      <c r="W28" s="74"/>
      <c r="X28" s="72">
        <f>SUM('Nilai Tahriri'!AO26,'Nilai Syafahi'!U28)</f>
        <v>0</v>
      </c>
      <c r="Y28" s="73" t="e">
        <f>AVERAGE(D28:T28,'Nilai Tahriri'!D26:AN26)</f>
        <v>#DIV/0!</v>
      </c>
      <c r="Z28" s="75">
        <f t="array" aca="1" ref="Z28" ca="1">SUM(IF(X28&lt;OFFSET($X$4,0,0,COUNT(X:X),1),1/COUNTIF(OFFSET($X$4,0,0,COUNT(X:X),1),OFFSET($X$4,0,0,COUNT(X:X),1))))+1</f>
        <v>24</v>
      </c>
      <c r="AA28" s="61" t="s">
        <v>274</v>
      </c>
    </row>
    <row r="29" spans="1:27" ht="15.5" x14ac:dyDescent="0.35">
      <c r="A29" s="71">
        <f>'Data Siswa'!A27</f>
        <v>26</v>
      </c>
      <c r="B29" s="78">
        <f>'Data Siswa'!B27</f>
        <v>0</v>
      </c>
      <c r="C29" s="71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2">
        <f t="shared" si="0"/>
        <v>0</v>
      </c>
      <c r="V29" s="73" t="e">
        <f t="shared" si="1"/>
        <v>#DIV/0!</v>
      </c>
      <c r="W29" s="74"/>
      <c r="X29" s="72">
        <f>SUM('Nilai Tahriri'!AO27,'Nilai Syafahi'!U29)</f>
        <v>0</v>
      </c>
      <c r="Y29" s="73" t="e">
        <f>AVERAGE(D29:T29,'Nilai Tahriri'!D27:AN27)</f>
        <v>#DIV/0!</v>
      </c>
      <c r="Z29" s="75">
        <f t="array" aca="1" ref="Z29" ca="1">SUM(IF(X29&lt;OFFSET($X$4,0,0,COUNT(X:X),1),1/COUNTIF(OFFSET($X$4,0,0,COUNT(X:X),1),OFFSET($X$4,0,0,COUNT(X:X),1))))+1</f>
        <v>24</v>
      </c>
      <c r="AA29" s="61" t="s">
        <v>274</v>
      </c>
    </row>
    <row r="30" spans="1:27" ht="15.5" x14ac:dyDescent="0.35">
      <c r="A30" s="71">
        <f>'Data Siswa'!A28</f>
        <v>27</v>
      </c>
      <c r="B30" s="78">
        <f>'Data Siswa'!B28</f>
        <v>0</v>
      </c>
      <c r="C30" s="71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2">
        <f t="shared" si="0"/>
        <v>0</v>
      </c>
      <c r="V30" s="73" t="e">
        <f t="shared" si="1"/>
        <v>#DIV/0!</v>
      </c>
      <c r="W30" s="74"/>
      <c r="X30" s="72">
        <f>SUM('Nilai Tahriri'!AO28,'Nilai Syafahi'!U30)</f>
        <v>0</v>
      </c>
      <c r="Y30" s="73" t="e">
        <f>AVERAGE(D30:T30,'Nilai Tahriri'!D28:AN28)</f>
        <v>#DIV/0!</v>
      </c>
      <c r="Z30" s="75">
        <f t="array" aca="1" ref="Z30" ca="1">SUM(IF(X30&lt;OFFSET($X$4,0,0,COUNT(X:X),1),1/COUNTIF(OFFSET($X$4,0,0,COUNT(X:X),1),OFFSET($X$4,0,0,COUNT(X:X),1))))+1</f>
        <v>24</v>
      </c>
      <c r="AA30" s="61" t="s">
        <v>274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24</v>
      </c>
      <c r="AA31" s="61" t="s">
        <v>274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24</v>
      </c>
      <c r="AA32" s="61" t="s">
        <v>274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24</v>
      </c>
      <c r="AA33" s="61" t="s">
        <v>274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24</v>
      </c>
      <c r="AA34" s="61" t="s">
        <v>274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24</v>
      </c>
      <c r="AA35" s="61" t="s">
        <v>274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24</v>
      </c>
      <c r="AA36" s="61" t="s">
        <v>274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24</v>
      </c>
      <c r="AA37" s="61" t="s">
        <v>274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24</v>
      </c>
      <c r="AA38" s="61" t="s">
        <v>274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24</v>
      </c>
      <c r="AA39" s="61" t="s">
        <v>274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24</v>
      </c>
      <c r="AA40" s="61" t="s">
        <v>274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24</v>
      </c>
      <c r="AA41" s="61" t="s">
        <v>274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24</v>
      </c>
      <c r="AA42" s="61" t="s">
        <v>274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24</v>
      </c>
      <c r="AA43" s="61" t="s">
        <v>274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zoomScale="120" zoomScaleNormal="120" workbookViewId="0">
      <selection activeCell="J7" sqref="J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9" t="s">
        <v>174</v>
      </c>
      <c r="B1" s="159"/>
      <c r="C1" s="159"/>
      <c r="D1" s="157" t="s">
        <v>91</v>
      </c>
      <c r="E1" s="157"/>
      <c r="F1" s="157"/>
      <c r="G1" s="157"/>
      <c r="H1" s="157"/>
      <c r="I1" s="157"/>
      <c r="J1" s="154" t="s">
        <v>176</v>
      </c>
    </row>
    <row r="2" spans="1:10" ht="14.5" customHeight="1" x14ac:dyDescent="0.35">
      <c r="A2" s="145" t="s">
        <v>76</v>
      </c>
      <c r="B2" s="143" t="s">
        <v>55</v>
      </c>
      <c r="C2" s="145" t="s">
        <v>54</v>
      </c>
      <c r="D2" s="158" t="s">
        <v>31</v>
      </c>
      <c r="E2" s="158"/>
      <c r="F2" s="158"/>
      <c r="G2" s="156" t="s">
        <v>84</v>
      </c>
      <c r="H2" s="156"/>
      <c r="I2" s="156"/>
      <c r="J2" s="155"/>
    </row>
    <row r="3" spans="1:10" ht="53.15" customHeight="1" x14ac:dyDescent="0.35">
      <c r="A3" s="145"/>
      <c r="B3" s="143"/>
      <c r="C3" s="145"/>
      <c r="D3" s="18" t="s">
        <v>34</v>
      </c>
      <c r="E3" s="18" t="s">
        <v>33</v>
      </c>
      <c r="F3" s="18" t="s">
        <v>32</v>
      </c>
      <c r="G3" s="18" t="s">
        <v>95</v>
      </c>
      <c r="H3" s="18" t="s">
        <v>93</v>
      </c>
      <c r="I3" s="18" t="s">
        <v>94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AHMAD FARIS</v>
      </c>
      <c r="C4" s="10" t="str">
        <f>'Data Siswa'!C2</f>
        <v>0508</v>
      </c>
      <c r="D4" s="20">
        <v>8</v>
      </c>
      <c r="E4" s="20">
        <v>8</v>
      </c>
      <c r="F4" s="20">
        <v>8</v>
      </c>
      <c r="G4" s="20"/>
      <c r="H4" s="20">
        <v>1</v>
      </c>
      <c r="I4" s="20">
        <v>1</v>
      </c>
      <c r="J4" s="2" t="s">
        <v>362</v>
      </c>
    </row>
    <row r="5" spans="1:10" ht="15.5" x14ac:dyDescent="0.35">
      <c r="A5" s="10">
        <f>'Data Siswa'!A3</f>
        <v>2</v>
      </c>
      <c r="B5" s="81" t="str">
        <f>'Data Siswa'!B3</f>
        <v>AHMAD YAZID ZIDAN</v>
      </c>
      <c r="C5" s="10" t="str">
        <f>'Data Siswa'!C3</f>
        <v>0509</v>
      </c>
      <c r="D5" s="20">
        <v>8</v>
      </c>
      <c r="E5" s="20">
        <v>8</v>
      </c>
      <c r="F5" s="20">
        <v>7</v>
      </c>
      <c r="G5" s="20"/>
      <c r="H5" s="20">
        <v>1</v>
      </c>
      <c r="I5" s="20">
        <v>1</v>
      </c>
      <c r="J5" s="2" t="s">
        <v>362</v>
      </c>
    </row>
    <row r="6" spans="1:10" ht="15.5" x14ac:dyDescent="0.35">
      <c r="A6" s="10">
        <f>'Data Siswa'!A4</f>
        <v>3</v>
      </c>
      <c r="B6" s="80" t="str">
        <f>'Data Siswa'!B4</f>
        <v>ALIEF RAMADHAN BADRI</v>
      </c>
      <c r="C6" s="10" t="str">
        <f>'Data Siswa'!C4</f>
        <v>0510</v>
      </c>
      <c r="D6" s="20">
        <v>8</v>
      </c>
      <c r="E6" s="20">
        <v>8</v>
      </c>
      <c r="F6" s="20">
        <v>8</v>
      </c>
      <c r="G6" s="20"/>
      <c r="H6" s="20">
        <v>1</v>
      </c>
      <c r="I6" s="20">
        <v>1</v>
      </c>
      <c r="J6" s="2" t="s">
        <v>362</v>
      </c>
    </row>
    <row r="7" spans="1:10" ht="15.5" x14ac:dyDescent="0.35">
      <c r="A7" s="10">
        <f>'Data Siswa'!A5</f>
        <v>4</v>
      </c>
      <c r="B7" s="80" t="str">
        <f>'Data Siswa'!B5</f>
        <v>ALWI RISFALDI</v>
      </c>
      <c r="C7" s="10" t="str">
        <f>'Data Siswa'!C5</f>
        <v>0511</v>
      </c>
      <c r="D7" s="20">
        <v>8</v>
      </c>
      <c r="E7" s="20">
        <v>8</v>
      </c>
      <c r="F7" s="20">
        <v>7</v>
      </c>
      <c r="G7" s="20"/>
      <c r="H7" s="20">
        <v>1</v>
      </c>
      <c r="I7" s="20">
        <v>1</v>
      </c>
      <c r="J7" s="2" t="s">
        <v>362</v>
      </c>
    </row>
    <row r="8" spans="1:10" ht="15.5" x14ac:dyDescent="0.35">
      <c r="A8" s="10">
        <f>'Data Siswa'!A6</f>
        <v>5</v>
      </c>
      <c r="B8" s="80" t="str">
        <f>'Data Siswa'!B6</f>
        <v>DAIVA WAHYU AJI ARDIAN</v>
      </c>
      <c r="C8" s="10" t="str">
        <f>'Data Siswa'!C6</f>
        <v>0512</v>
      </c>
      <c r="D8" s="20">
        <v>8</v>
      </c>
      <c r="E8" s="20">
        <v>8</v>
      </c>
      <c r="F8" s="20">
        <v>8</v>
      </c>
      <c r="G8" s="20">
        <v>2</v>
      </c>
      <c r="H8" s="20">
        <v>1</v>
      </c>
      <c r="I8" s="20">
        <v>1</v>
      </c>
      <c r="J8" s="2" t="s">
        <v>362</v>
      </c>
    </row>
    <row r="9" spans="1:10" ht="15.5" x14ac:dyDescent="0.35">
      <c r="A9" s="10">
        <f>'Data Siswa'!A7</f>
        <v>6</v>
      </c>
      <c r="B9" s="80" t="str">
        <f>'Data Siswa'!B7</f>
        <v>FALIH KHAIRAN AL GHANI</v>
      </c>
      <c r="C9" s="10" t="str">
        <f>'Data Siswa'!C7</f>
        <v>0513</v>
      </c>
      <c r="D9" s="20">
        <v>8</v>
      </c>
      <c r="E9" s="20">
        <v>8</v>
      </c>
      <c r="F9" s="20">
        <v>8</v>
      </c>
      <c r="G9" s="20"/>
      <c r="H9" s="20">
        <v>1</v>
      </c>
      <c r="I9" s="20">
        <v>1</v>
      </c>
      <c r="J9" s="2" t="s">
        <v>362</v>
      </c>
    </row>
    <row r="10" spans="1:10" ht="15.5" x14ac:dyDescent="0.35">
      <c r="A10" s="10">
        <f>'Data Siswa'!A8</f>
        <v>7</v>
      </c>
      <c r="B10" s="80" t="str">
        <f>'Data Siswa'!B8</f>
        <v>KHOLIL IBRAHIM</v>
      </c>
      <c r="C10" s="10" t="str">
        <f>'Data Siswa'!C8</f>
        <v>0514</v>
      </c>
      <c r="D10" s="20">
        <v>8</v>
      </c>
      <c r="E10" s="20">
        <v>8</v>
      </c>
      <c r="F10" s="20">
        <v>8</v>
      </c>
      <c r="G10" s="20"/>
      <c r="H10" s="20">
        <v>1</v>
      </c>
      <c r="I10" s="20">
        <v>1</v>
      </c>
      <c r="J10" s="2" t="s">
        <v>362</v>
      </c>
    </row>
    <row r="11" spans="1:10" ht="15.5" x14ac:dyDescent="0.35">
      <c r="A11" s="10">
        <f>'Data Siswa'!A9</f>
        <v>8</v>
      </c>
      <c r="B11" s="80" t="str">
        <f>'Data Siswa'!B9</f>
        <v>MUHAMAD IRFAN HABIB AL JAUHAR</v>
      </c>
      <c r="C11" s="10" t="str">
        <f>'Data Siswa'!C9</f>
        <v>0515</v>
      </c>
      <c r="D11" s="20">
        <v>8</v>
      </c>
      <c r="E11" s="20">
        <v>8</v>
      </c>
      <c r="F11" s="20">
        <v>8</v>
      </c>
      <c r="G11" s="20"/>
      <c r="H11" s="20">
        <v>1</v>
      </c>
      <c r="I11" s="20">
        <v>1</v>
      </c>
      <c r="J11" s="2" t="s">
        <v>362</v>
      </c>
    </row>
    <row r="12" spans="1:10" ht="15.5" x14ac:dyDescent="0.35">
      <c r="A12" s="10">
        <f>'Data Siswa'!A10</f>
        <v>9</v>
      </c>
      <c r="B12" s="80" t="str">
        <f>'Data Siswa'!B10</f>
        <v>MUHAMAD IRSAN APRIANSYAH</v>
      </c>
      <c r="C12" s="10" t="str">
        <f>'Data Siswa'!C10</f>
        <v>0516</v>
      </c>
      <c r="D12" s="20">
        <v>8</v>
      </c>
      <c r="E12" s="20">
        <v>8</v>
      </c>
      <c r="F12" s="20">
        <v>8</v>
      </c>
      <c r="G12" s="20"/>
      <c r="H12" s="20">
        <v>1</v>
      </c>
      <c r="I12" s="20">
        <v>1</v>
      </c>
      <c r="J12" s="2" t="s">
        <v>362</v>
      </c>
    </row>
    <row r="13" spans="1:10" ht="15.5" x14ac:dyDescent="0.35">
      <c r="A13" s="10">
        <f>'Data Siswa'!A11</f>
        <v>10</v>
      </c>
      <c r="B13" s="80" t="str">
        <f>'Data Siswa'!B11</f>
        <v>MUHAMAD ZIDAN BAWAZIER</v>
      </c>
      <c r="C13" s="10" t="str">
        <f>'Data Siswa'!C11</f>
        <v>0517</v>
      </c>
      <c r="D13" s="20">
        <v>8</v>
      </c>
      <c r="E13" s="20">
        <v>8</v>
      </c>
      <c r="F13" s="20">
        <v>8</v>
      </c>
      <c r="G13" s="20"/>
      <c r="H13" s="20">
        <v>1</v>
      </c>
      <c r="I13" s="20">
        <v>1</v>
      </c>
      <c r="J13" s="2" t="s">
        <v>362</v>
      </c>
    </row>
    <row r="14" spans="1:10" ht="15.5" x14ac:dyDescent="0.35">
      <c r="A14" s="10">
        <f>'Data Siswa'!A12</f>
        <v>11</v>
      </c>
      <c r="B14" s="80" t="str">
        <f>'Data Siswa'!B12</f>
        <v>MUHAMMAD DZAKY ARYA PRATAMA</v>
      </c>
      <c r="C14" s="10" t="str">
        <f>'Data Siswa'!C12</f>
        <v>0518</v>
      </c>
      <c r="D14" s="20">
        <v>8</v>
      </c>
      <c r="E14" s="20">
        <v>8</v>
      </c>
      <c r="F14" s="20">
        <v>8</v>
      </c>
      <c r="G14" s="20"/>
      <c r="H14" s="20">
        <v>1</v>
      </c>
      <c r="I14" s="20">
        <v>1</v>
      </c>
      <c r="J14" s="2" t="s">
        <v>362</v>
      </c>
    </row>
    <row r="15" spans="1:10" ht="15.5" x14ac:dyDescent="0.35">
      <c r="A15" s="10">
        <f>'Data Siswa'!A13</f>
        <v>12</v>
      </c>
      <c r="B15" s="80" t="str">
        <f>'Data Siswa'!B13</f>
        <v>MUHAMMAD LUCKY LUKMAN</v>
      </c>
      <c r="C15" s="10" t="str">
        <f>'Data Siswa'!C13</f>
        <v>0519</v>
      </c>
      <c r="D15" s="20">
        <v>8</v>
      </c>
      <c r="E15" s="20">
        <v>8</v>
      </c>
      <c r="F15" s="20">
        <v>8</v>
      </c>
      <c r="G15" s="20"/>
      <c r="H15" s="20">
        <v>1</v>
      </c>
      <c r="I15" s="20">
        <v>1</v>
      </c>
      <c r="J15" s="2" t="s">
        <v>362</v>
      </c>
    </row>
    <row r="16" spans="1:10" ht="15.5" x14ac:dyDescent="0.35">
      <c r="A16" s="10">
        <f>'Data Siswa'!A14</f>
        <v>13</v>
      </c>
      <c r="B16" s="80" t="str">
        <f>'Data Siswa'!B14</f>
        <v>MUHAMMAD NUFRIZAL</v>
      </c>
      <c r="C16" s="10" t="str">
        <f>'Data Siswa'!C14</f>
        <v>0520</v>
      </c>
      <c r="D16" s="20">
        <v>8</v>
      </c>
      <c r="E16" s="20">
        <v>8</v>
      </c>
      <c r="F16" s="20">
        <v>7</v>
      </c>
      <c r="G16" s="20"/>
      <c r="H16" s="20">
        <v>1</v>
      </c>
      <c r="I16" s="20">
        <v>1</v>
      </c>
      <c r="J16" s="2" t="s">
        <v>362</v>
      </c>
    </row>
    <row r="17" spans="1:10" ht="15.5" x14ac:dyDescent="0.35">
      <c r="A17" s="10">
        <f>'Data Siswa'!A15</f>
        <v>14</v>
      </c>
      <c r="B17" s="80" t="str">
        <f>'Data Siswa'!B15</f>
        <v>MUHAMMAD RIZKI RAMADHANI</v>
      </c>
      <c r="C17" s="10" t="str">
        <f>'Data Siswa'!C15</f>
        <v>0521</v>
      </c>
      <c r="D17" s="20">
        <v>8</v>
      </c>
      <c r="E17" s="20">
        <v>8</v>
      </c>
      <c r="F17" s="20">
        <v>8</v>
      </c>
      <c r="G17" s="20"/>
      <c r="H17" s="20">
        <v>1</v>
      </c>
      <c r="I17" s="20">
        <v>1</v>
      </c>
      <c r="J17" s="2" t="s">
        <v>362</v>
      </c>
    </row>
    <row r="18" spans="1:10" ht="15.5" x14ac:dyDescent="0.35">
      <c r="A18" s="10">
        <f>'Data Siswa'!A16</f>
        <v>15</v>
      </c>
      <c r="B18" s="80" t="str">
        <f>'Data Siswa'!B16</f>
        <v>MUHAMMAD ZAKI ALGIFARI</v>
      </c>
      <c r="C18" s="10" t="str">
        <f>'Data Siswa'!C16</f>
        <v>0522</v>
      </c>
      <c r="D18" s="20">
        <v>8</v>
      </c>
      <c r="E18" s="20">
        <v>8</v>
      </c>
      <c r="F18" s="20">
        <v>8</v>
      </c>
      <c r="G18" s="20"/>
      <c r="H18" s="20">
        <v>1</v>
      </c>
      <c r="I18" s="20">
        <v>1</v>
      </c>
      <c r="J18" s="2" t="s">
        <v>362</v>
      </c>
    </row>
    <row r="19" spans="1:10" ht="15.5" x14ac:dyDescent="0.35">
      <c r="A19" s="10">
        <f>'Data Siswa'!A17</f>
        <v>16</v>
      </c>
      <c r="B19" s="80" t="str">
        <f>'Data Siswa'!B17</f>
        <v>NAZID ZULFA NOOR</v>
      </c>
      <c r="C19" s="10" t="str">
        <f>'Data Siswa'!C17</f>
        <v>0523</v>
      </c>
      <c r="D19" s="20">
        <v>8</v>
      </c>
      <c r="E19" s="20">
        <v>8</v>
      </c>
      <c r="F19" s="20">
        <v>8</v>
      </c>
      <c r="G19" s="20"/>
      <c r="H19" s="20">
        <v>1</v>
      </c>
      <c r="I19" s="20">
        <v>1</v>
      </c>
      <c r="J19" s="2" t="s">
        <v>362</v>
      </c>
    </row>
    <row r="20" spans="1:10" ht="15.5" x14ac:dyDescent="0.35">
      <c r="A20" s="10">
        <f>'Data Siswa'!A18</f>
        <v>17</v>
      </c>
      <c r="B20" s="80" t="str">
        <f>'Data Siswa'!B18</f>
        <v>NIBRAAS CAHYA GEMILANG</v>
      </c>
      <c r="C20" s="10" t="str">
        <f>'Data Siswa'!C18</f>
        <v>0524</v>
      </c>
      <c r="D20" s="20">
        <v>8</v>
      </c>
      <c r="E20" s="20">
        <v>8</v>
      </c>
      <c r="F20" s="20">
        <v>7</v>
      </c>
      <c r="G20" s="20"/>
      <c r="H20" s="20">
        <v>1</v>
      </c>
      <c r="I20" s="20">
        <v>1</v>
      </c>
      <c r="J20" s="2" t="s">
        <v>362</v>
      </c>
    </row>
    <row r="21" spans="1:10" ht="15.5" x14ac:dyDescent="0.35">
      <c r="A21" s="10">
        <f>'Data Siswa'!A19</f>
        <v>18</v>
      </c>
      <c r="B21" s="80" t="str">
        <f>'Data Siswa'!B19</f>
        <v>REFALDI</v>
      </c>
      <c r="C21" s="10" t="str">
        <f>'Data Siswa'!C19</f>
        <v>0525</v>
      </c>
      <c r="D21" s="20">
        <v>8</v>
      </c>
      <c r="E21" s="20">
        <v>8</v>
      </c>
      <c r="F21" s="20">
        <v>7</v>
      </c>
      <c r="G21" s="20">
        <v>2</v>
      </c>
      <c r="H21" s="20">
        <v>1</v>
      </c>
      <c r="I21" s="20">
        <v>1</v>
      </c>
      <c r="J21" s="2" t="s">
        <v>362</v>
      </c>
    </row>
    <row r="22" spans="1:10" ht="15.5" x14ac:dyDescent="0.35">
      <c r="A22" s="10">
        <f>'Data Siswa'!A20</f>
        <v>19</v>
      </c>
      <c r="B22" s="80" t="str">
        <f>'Data Siswa'!B20</f>
        <v>RIZKY ARIF FIRMANSYAH</v>
      </c>
      <c r="C22" s="10" t="str">
        <f>'Data Siswa'!C20</f>
        <v>0526</v>
      </c>
      <c r="D22" s="20">
        <v>8</v>
      </c>
      <c r="E22" s="20">
        <v>8</v>
      </c>
      <c r="F22" s="20">
        <v>8</v>
      </c>
      <c r="G22" s="20"/>
      <c r="H22" s="20">
        <v>1</v>
      </c>
      <c r="I22" s="20">
        <v>1</v>
      </c>
      <c r="J22" s="2" t="s">
        <v>362</v>
      </c>
    </row>
    <row r="23" spans="1:10" ht="15.5" x14ac:dyDescent="0.35">
      <c r="A23" s="10">
        <f>'Data Siswa'!A21</f>
        <v>20</v>
      </c>
      <c r="B23" s="80" t="str">
        <f>'Data Siswa'!B21</f>
        <v>SAKTIAJI AL-BAQRY</v>
      </c>
      <c r="C23" s="10" t="str">
        <f>'Data Siswa'!C21</f>
        <v>0527</v>
      </c>
      <c r="D23" s="20">
        <v>8</v>
      </c>
      <c r="E23" s="20">
        <v>8</v>
      </c>
      <c r="F23" s="20">
        <v>8</v>
      </c>
      <c r="G23" s="20"/>
      <c r="H23" s="20">
        <v>1</v>
      </c>
      <c r="I23" s="20">
        <v>1</v>
      </c>
      <c r="J23" s="2" t="s">
        <v>362</v>
      </c>
    </row>
    <row r="24" spans="1:10" ht="15.5" x14ac:dyDescent="0.35">
      <c r="A24" s="10">
        <f>'Data Siswa'!A22</f>
        <v>21</v>
      </c>
      <c r="B24" s="80" t="str">
        <f>'Data Siswa'!B22</f>
        <v>SUJENI TURANDI</v>
      </c>
      <c r="C24" s="10" t="str">
        <f>'Data Siswa'!C22</f>
        <v>0528</v>
      </c>
      <c r="D24" s="20">
        <v>8</v>
      </c>
      <c r="E24" s="20">
        <v>8</v>
      </c>
      <c r="F24" s="20">
        <v>8</v>
      </c>
      <c r="G24" s="20"/>
      <c r="H24" s="20">
        <v>1</v>
      </c>
      <c r="I24" s="20">
        <v>1</v>
      </c>
      <c r="J24" s="2" t="s">
        <v>362</v>
      </c>
    </row>
    <row r="25" spans="1:10" ht="15.5" x14ac:dyDescent="0.35">
      <c r="A25" s="10">
        <f>'Data Siswa'!A23</f>
        <v>22</v>
      </c>
      <c r="B25" s="80" t="str">
        <f>'Data Siswa'!B23</f>
        <v>SULTAN MAULANA FAHRI</v>
      </c>
      <c r="C25" s="10" t="str">
        <f>'Data Siswa'!C23</f>
        <v>0529</v>
      </c>
      <c r="D25" s="20">
        <v>8</v>
      </c>
      <c r="E25" s="20">
        <v>8</v>
      </c>
      <c r="F25" s="20">
        <v>8</v>
      </c>
      <c r="G25" s="20">
        <v>1</v>
      </c>
      <c r="H25" s="20">
        <v>1</v>
      </c>
      <c r="I25" s="20">
        <v>1</v>
      </c>
      <c r="J25" s="2" t="s">
        <v>362</v>
      </c>
    </row>
    <row r="26" spans="1:10" ht="15.5" x14ac:dyDescent="0.35">
      <c r="A26" s="10">
        <f>'Data Siswa'!A24</f>
        <v>23</v>
      </c>
      <c r="B26" s="80" t="str">
        <f>'Data Siswa'!B24</f>
        <v>YOGI PRATAMA</v>
      </c>
      <c r="C26" s="10" t="str">
        <f>'Data Siswa'!C24</f>
        <v>0530</v>
      </c>
      <c r="D26" s="20">
        <v>8</v>
      </c>
      <c r="E26" s="20">
        <v>8</v>
      </c>
      <c r="F26" s="20">
        <v>8</v>
      </c>
      <c r="G26" s="20"/>
      <c r="H26" s="20">
        <v>1</v>
      </c>
      <c r="I26" s="20">
        <v>1</v>
      </c>
      <c r="J26" s="2" t="s">
        <v>362</v>
      </c>
    </row>
    <row r="27" spans="1:10" ht="15.5" x14ac:dyDescent="0.35">
      <c r="A27" s="10">
        <f>'Data Siswa'!A25</f>
        <v>24</v>
      </c>
      <c r="B27" s="80">
        <f>'Data Siswa'!B25</f>
        <v>0</v>
      </c>
      <c r="C27" s="10">
        <f>'Data Siswa'!C25</f>
        <v>0</v>
      </c>
      <c r="D27" s="20"/>
      <c r="E27" s="20"/>
      <c r="F27" s="20"/>
      <c r="G27" s="20"/>
      <c r="H27" s="20"/>
      <c r="I27" s="20"/>
      <c r="J27" s="2"/>
    </row>
    <row r="28" spans="1:10" ht="15.5" x14ac:dyDescent="0.35">
      <c r="A28" s="10">
        <f>'Data Siswa'!A26</f>
        <v>25</v>
      </c>
      <c r="B28" s="80">
        <f>'Data Siswa'!B26</f>
        <v>0</v>
      </c>
      <c r="C28" s="10">
        <f>'Data Siswa'!C26</f>
        <v>0</v>
      </c>
      <c r="D28" s="20"/>
      <c r="E28" s="20"/>
      <c r="F28" s="20"/>
      <c r="G28" s="20"/>
      <c r="H28" s="20"/>
      <c r="I28" s="20"/>
      <c r="J28" s="2"/>
    </row>
    <row r="29" spans="1:10" ht="15.5" x14ac:dyDescent="0.35">
      <c r="A29" s="10">
        <f>'Data Siswa'!A27</f>
        <v>26</v>
      </c>
      <c r="B29" s="80">
        <f>'Data Siswa'!B27</f>
        <v>0</v>
      </c>
      <c r="C29" s="10">
        <f>'Data Siswa'!C27</f>
        <v>0</v>
      </c>
      <c r="D29" s="20"/>
      <c r="E29" s="20"/>
      <c r="F29" s="20"/>
      <c r="G29" s="20"/>
      <c r="H29" s="20"/>
      <c r="I29" s="20"/>
      <c r="J29" s="2"/>
    </row>
    <row r="30" spans="1:10" ht="15.5" x14ac:dyDescent="0.35">
      <c r="A30" s="10">
        <f>'Data Siswa'!A28</f>
        <v>27</v>
      </c>
      <c r="B30" s="80">
        <f>'Data Siswa'!B28</f>
        <v>0</v>
      </c>
      <c r="C30" s="10">
        <f>'Data Siswa'!C28</f>
        <v>0</v>
      </c>
      <c r="D30" s="20"/>
      <c r="E30" s="20"/>
      <c r="F30" s="20"/>
      <c r="G30" s="20"/>
      <c r="H30" s="20"/>
      <c r="I30" s="20"/>
      <c r="J30" s="2"/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"/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"/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"/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"/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"/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"/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/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/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/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/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/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/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/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  <pageSetup paperSize="1000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Normal="70" workbookViewId="0">
      <selection activeCell="V12" sqref="V12:V1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2" t="str">
        <f>VLOOKUP($U$8,'Nilai Tahriri'!$A$2:$X$41,2,FALSE)&amp;" ( "&amp;VLOOKUP($U$8,'Data Siswa'!$A$2:$D$41,3,FALSE)&amp;" )"</f>
        <v>AHMAD FARIS ( 0508 )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2:28" ht="11.5" customHeight="1" x14ac:dyDescent="0.3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3" t="str">
        <f>Biodata!$B$12</f>
        <v>١٤٤٥ - ١٤٤٦ ه</v>
      </c>
      <c r="C3" s="273"/>
      <c r="D3" s="274" t="str">
        <f>Biodata!$B$10</f>
        <v xml:space="preserve">العام الدراسي : </v>
      </c>
      <c r="E3" s="274"/>
      <c r="F3" s="274"/>
      <c r="G3" s="274"/>
      <c r="H3" s="274"/>
      <c r="I3" s="274"/>
      <c r="J3" s="274"/>
      <c r="K3" s="160" t="str">
        <f>Biodata!$B$7</f>
        <v>الفصل الدراسي : الأول</v>
      </c>
      <c r="M3" s="160" t="str">
        <f>Biodata!$B$4</f>
        <v>الصف  : السادس أ للبنين</v>
      </c>
      <c r="N3" s="160"/>
      <c r="O3" s="162" t="str">
        <f>(VLOOKUP($U$8,'Data Siswa'!$A$2:$D$41,4,FALSE))</f>
        <v>أحمد فارس</v>
      </c>
      <c r="P3" s="162"/>
      <c r="Q3" s="162"/>
      <c r="R3" s="164" t="s">
        <v>288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6" t="str">
        <f>Biodata!$B$11</f>
        <v>٢٠٢٤ - ٢٠٢٥ م</v>
      </c>
      <c r="C4" s="166"/>
      <c r="D4" s="275"/>
      <c r="E4" s="275"/>
      <c r="F4" s="275"/>
      <c r="G4" s="275"/>
      <c r="H4" s="275"/>
      <c r="I4" s="275"/>
      <c r="J4" s="275"/>
      <c r="K4" s="161"/>
      <c r="L4" s="115"/>
      <c r="M4" s="161"/>
      <c r="N4" s="161"/>
      <c r="O4" s="163"/>
      <c r="P4" s="163"/>
      <c r="Q4" s="163"/>
      <c r="R4" s="165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96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3" t="s">
        <v>263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263</v>
      </c>
      <c r="N6" s="174"/>
      <c r="O6" s="174"/>
      <c r="P6" s="174"/>
      <c r="Q6" s="174"/>
      <c r="R6" s="187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4"/>
      <c r="T7" s="24"/>
      <c r="U7" s="25" t="s">
        <v>97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67" t="s">
        <v>4</v>
      </c>
      <c r="N8" s="34" t="s">
        <v>5</v>
      </c>
      <c r="O8" s="191"/>
      <c r="P8" s="191"/>
      <c r="Q8" s="191"/>
      <c r="R8" s="188"/>
      <c r="S8" s="24"/>
      <c r="T8" s="24"/>
      <c r="U8" s="26">
        <v>1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0" t="s">
        <v>140</v>
      </c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93" t="str">
        <f>VLOOKUP(N9,Sheet1!$A$1:$B$93,2)</f>
        <v xml:space="preserve"> </v>
      </c>
      <c r="N9" s="96"/>
      <c r="O9" s="98"/>
      <c r="P9" s="182" t="s">
        <v>99</v>
      </c>
      <c r="Q9" s="183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خمس</v>
      </c>
      <c r="C10" s="266">
        <f>VLOOKUP($U$8,'Nilai Syafahi'!$A$4:$AA$43,4,FALSE)</f>
        <v>5</v>
      </c>
      <c r="D10" s="267"/>
      <c r="E10" s="267"/>
      <c r="F10" s="267"/>
      <c r="G10" s="184" t="s">
        <v>142</v>
      </c>
      <c r="H10" s="185"/>
      <c r="I10" s="185"/>
      <c r="J10" s="185"/>
      <c r="K10" s="186"/>
      <c r="L10" s="86">
        <v>40</v>
      </c>
      <c r="M10" s="94" t="str">
        <f>VLOOKUP(N10,Sheet1!$A$1:$B$93,2)</f>
        <v xml:space="preserve"> اربع</v>
      </c>
      <c r="N10" s="68">
        <f>VLOOKUP($U$8,'Nilai Tahriri'!$A$2:$AP$41,4,FALSE)</f>
        <v>4</v>
      </c>
      <c r="O10" s="103"/>
      <c r="P10" s="180" t="s">
        <v>100</v>
      </c>
      <c r="Q10" s="181"/>
      <c r="R10" s="64">
        <v>2</v>
      </c>
      <c r="S10" s="24"/>
      <c r="T10" s="24"/>
      <c r="U10" s="167" t="s">
        <v>150</v>
      </c>
      <c r="V10" s="169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خمس و نصف</v>
      </c>
      <c r="C11" s="178">
        <f>VLOOKUP($U$8,'Nilai Syafahi'!$A$4:$AA$43,5,FALSE)</f>
        <v>5.5</v>
      </c>
      <c r="D11" s="179"/>
      <c r="E11" s="179"/>
      <c r="F11" s="179"/>
      <c r="G11" s="192"/>
      <c r="H11" s="193"/>
      <c r="I11" s="193"/>
      <c r="J11" s="193"/>
      <c r="K11" s="66" t="s">
        <v>6</v>
      </c>
      <c r="L11" s="87">
        <v>41</v>
      </c>
      <c r="M11" s="94" t="str">
        <f>VLOOKUP(N11,Sheet1!$A$1:$B$93,2)</f>
        <v xml:space="preserve"> خمس</v>
      </c>
      <c r="N11" s="68">
        <f>VLOOKUP($U$8,'Nilai Tahriri'!$A$2:$AP$41,5,FALSE)</f>
        <v>5</v>
      </c>
      <c r="O11" s="103"/>
      <c r="P11" s="180" t="s">
        <v>101</v>
      </c>
      <c r="Q11" s="181"/>
      <c r="R11" s="64">
        <v>3</v>
      </c>
      <c r="S11" s="24"/>
      <c r="T11" s="24"/>
      <c r="U11" s="168"/>
      <c r="V11" s="170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خمس</v>
      </c>
      <c r="C12" s="178">
        <f>VLOOKUP($U$8,'Nilai Syafahi'!$A$4:$AA$43,6,FALSE)</f>
        <v>5</v>
      </c>
      <c r="D12" s="179"/>
      <c r="E12" s="179"/>
      <c r="F12" s="179"/>
      <c r="G12" s="192"/>
      <c r="H12" s="193"/>
      <c r="I12" s="193"/>
      <c r="J12" s="193"/>
      <c r="K12" s="66" t="s">
        <v>8</v>
      </c>
      <c r="L12" s="87">
        <v>42</v>
      </c>
      <c r="M12" s="94" t="str">
        <f>VLOOKUP(N12,Sheet1!$A$1:$B$93,2)</f>
        <v xml:space="preserve"> خمس</v>
      </c>
      <c r="N12" s="68">
        <f>VLOOKUP($U$8,'Nilai Tahriri'!$A$2:$AP$41,6,FALSE)</f>
        <v>5</v>
      </c>
      <c r="O12" s="103"/>
      <c r="P12" s="180" t="s">
        <v>102</v>
      </c>
      <c r="Q12" s="181"/>
      <c r="R12" s="64">
        <v>4</v>
      </c>
      <c r="S12" s="24"/>
      <c r="T12" s="24"/>
      <c r="U12" s="167" t="s">
        <v>151</v>
      </c>
      <c r="V12" s="171">
        <v>23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ستّ</v>
      </c>
      <c r="C13" s="178">
        <f>VLOOKUP($U$8,'Nilai Syafahi'!$A$4:$AA$43,7,FALSE)</f>
        <v>6</v>
      </c>
      <c r="D13" s="179"/>
      <c r="E13" s="179"/>
      <c r="F13" s="179"/>
      <c r="G13" s="192"/>
      <c r="H13" s="193"/>
      <c r="I13" s="193"/>
      <c r="J13" s="193"/>
      <c r="K13" s="66" t="s">
        <v>10</v>
      </c>
      <c r="L13" s="87">
        <v>43</v>
      </c>
      <c r="M13" s="94" t="str">
        <f>VLOOKUP(N13,Sheet1!$A$1:$B$93,2)</f>
        <v xml:space="preserve"> ستّ</v>
      </c>
      <c r="N13" s="68">
        <f>VLOOKUP($U$8,'Nilai Tahriri'!$A$2:$AP$41,7,FALSE)</f>
        <v>6</v>
      </c>
      <c r="O13" s="103"/>
      <c r="P13" s="180" t="s">
        <v>103</v>
      </c>
      <c r="Q13" s="181"/>
      <c r="R13" s="64">
        <v>5</v>
      </c>
      <c r="S13" s="24"/>
      <c r="T13" s="24"/>
      <c r="U13" s="168"/>
      <c r="V13" s="170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خمس و نصف</v>
      </c>
      <c r="C14" s="178">
        <f>VLOOKUP($U$8,'Nilai Syafahi'!$A$4:$AA$43,8,FALSE)</f>
        <v>5.5</v>
      </c>
      <c r="D14" s="179"/>
      <c r="E14" s="179"/>
      <c r="F14" s="179"/>
      <c r="G14" s="192"/>
      <c r="H14" s="193"/>
      <c r="I14" s="193"/>
      <c r="J14" s="193"/>
      <c r="K14" s="66" t="s">
        <v>12</v>
      </c>
      <c r="L14" s="87">
        <v>44</v>
      </c>
      <c r="M14" s="94" t="str">
        <f>VLOOKUP(N14,Sheet1!$A$1:$B$93,2)</f>
        <v xml:space="preserve"> خمس</v>
      </c>
      <c r="N14" s="68">
        <f>VLOOKUP($U$8,'Nilai Tahriri'!$A$2:$AP$41,8,FALSE)</f>
        <v>5</v>
      </c>
      <c r="O14" s="103"/>
      <c r="P14" s="180" t="s">
        <v>104</v>
      </c>
      <c r="Q14" s="181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</v>
      </c>
      <c r="C15" s="178">
        <f>VLOOKUP($U$8,'Nilai Syafahi'!$A$4:$AA$43,9,FALSE)</f>
        <v>0</v>
      </c>
      <c r="D15" s="179"/>
      <c r="E15" s="179"/>
      <c r="F15" s="179"/>
      <c r="G15" s="192"/>
      <c r="H15" s="193"/>
      <c r="I15" s="193"/>
      <c r="J15" s="193"/>
      <c r="K15" s="66" t="s">
        <v>14</v>
      </c>
      <c r="L15" s="87">
        <v>45</v>
      </c>
      <c r="M15" s="94" t="str">
        <f>VLOOKUP(N15,Sheet1!$A$1:$B$93,2)</f>
        <v xml:space="preserve"> ست و نصف</v>
      </c>
      <c r="N15" s="68">
        <f>VLOOKUP($U$8,'Nilai Tahriri'!$A$2:$AP$41,9,FALSE)</f>
        <v>6.5</v>
      </c>
      <c r="O15" s="103"/>
      <c r="P15" s="180" t="s">
        <v>105</v>
      </c>
      <c r="Q15" s="181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0" t="s">
        <v>141</v>
      </c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94" t="str">
        <f>VLOOKUP(N16,Sheet1!$A$1:$B$93,2)</f>
        <v xml:space="preserve"> ستّ</v>
      </c>
      <c r="N16" s="68">
        <f>VLOOKUP($U$8,'Nilai Tahriri'!$A$2:$AP$41,10,FALSE)</f>
        <v>6</v>
      </c>
      <c r="O16" s="103"/>
      <c r="P16" s="180" t="s">
        <v>280</v>
      </c>
      <c r="Q16" s="181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خمس</v>
      </c>
      <c r="C17" s="178">
        <f>VLOOKUP($U$8,'Nilai Syafahi'!$A$4:$AA$43,10,FALSE)</f>
        <v>5</v>
      </c>
      <c r="D17" s="179"/>
      <c r="E17" s="179"/>
      <c r="F17" s="179"/>
      <c r="G17" s="198" t="s">
        <v>66</v>
      </c>
      <c r="H17" s="199"/>
      <c r="I17" s="199"/>
      <c r="J17" s="199"/>
      <c r="K17" s="200"/>
      <c r="L17" s="87">
        <v>46</v>
      </c>
      <c r="M17" s="94" t="str">
        <f>VLOOKUP(N17,Sheet1!$A$1:$B$93,2)</f>
        <v xml:space="preserve"> خمس و نصف</v>
      </c>
      <c r="N17" s="68">
        <f>VLOOKUP($U$8,'Nilai Tahriri'!$A$2:$AP$41,11,FALSE)</f>
        <v>5.5</v>
      </c>
      <c r="O17" s="103"/>
      <c r="P17" s="180" t="s">
        <v>106</v>
      </c>
      <c r="Q17" s="181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اربع</v>
      </c>
      <c r="C18" s="178">
        <f>VLOOKUP($U$8,'Nilai Syafahi'!$A$4:$AA$43,11,FALSE)</f>
        <v>4</v>
      </c>
      <c r="D18" s="179"/>
      <c r="E18" s="179"/>
      <c r="F18" s="179"/>
      <c r="G18" s="198" t="s">
        <v>178</v>
      </c>
      <c r="H18" s="199" t="s">
        <v>178</v>
      </c>
      <c r="I18" s="199" t="s">
        <v>178</v>
      </c>
      <c r="J18" s="199" t="s">
        <v>178</v>
      </c>
      <c r="K18" s="200" t="s">
        <v>178</v>
      </c>
      <c r="L18" s="87">
        <v>47</v>
      </c>
      <c r="M18" s="94" t="str">
        <f>VLOOKUP(N18,Sheet1!$A$1:$B$93,2)</f>
        <v xml:space="preserve"> سبع</v>
      </c>
      <c r="N18" s="68">
        <f>VLOOKUP($U$8,'Nilai Tahriri'!$A$2:$AP$41,12,FALSE)</f>
        <v>7</v>
      </c>
      <c r="O18" s="103"/>
      <c r="P18" s="180" t="s">
        <v>107</v>
      </c>
      <c r="Q18" s="181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اربع</v>
      </c>
      <c r="C19" s="178">
        <f>VLOOKUP($U$8,'Nilai Syafahi'!$A$4:$AA$43,12,FALSE)</f>
        <v>4</v>
      </c>
      <c r="D19" s="179"/>
      <c r="E19" s="179"/>
      <c r="F19" s="179"/>
      <c r="G19" s="198" t="s">
        <v>88</v>
      </c>
      <c r="H19" s="199"/>
      <c r="I19" s="199"/>
      <c r="J19" s="199"/>
      <c r="K19" s="200"/>
      <c r="L19" s="87">
        <v>48</v>
      </c>
      <c r="M19" s="94" t="str">
        <f>VLOOKUP(N19,Sheet1!$A$1:$B$93,2)</f>
        <v xml:space="preserve"> ثمان</v>
      </c>
      <c r="N19" s="68">
        <f>VLOOKUP($U$8,'Nilai Tahriri'!$A$2:$AP$41,13,FALSE)</f>
        <v>8</v>
      </c>
      <c r="O19" s="103"/>
      <c r="P19" s="180" t="s">
        <v>108</v>
      </c>
      <c r="Q19" s="181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اربع</v>
      </c>
      <c r="C20" s="178">
        <f>VLOOKUP($U$8,'Nilai Syafahi'!$A$4:$AA$43,13,FALSE)</f>
        <v>4</v>
      </c>
      <c r="D20" s="179"/>
      <c r="E20" s="179"/>
      <c r="F20" s="179"/>
      <c r="G20" s="198" t="s">
        <v>262</v>
      </c>
      <c r="H20" s="199"/>
      <c r="I20" s="199"/>
      <c r="J20" s="199"/>
      <c r="K20" s="200"/>
      <c r="L20" s="87">
        <v>49</v>
      </c>
      <c r="M20" s="94" t="str">
        <f>VLOOKUP(N20,Sheet1!$A$1:$B$93,2)</f>
        <v xml:space="preserve"> ست و نصف</v>
      </c>
      <c r="N20" s="68">
        <f>VLOOKUP($U$8,'Nilai Tahriri'!$A$2:$AP$41,14,FALSE)</f>
        <v>6.5</v>
      </c>
      <c r="O20" s="103"/>
      <c r="P20" s="180" t="s">
        <v>109</v>
      </c>
      <c r="Q20" s="181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خمس و نصف</v>
      </c>
      <c r="C21" s="178">
        <f>VLOOKUP($U$8,'Nilai Syafahi'!$A$4:$AA$43,14,FALSE)</f>
        <v>5.5</v>
      </c>
      <c r="D21" s="179"/>
      <c r="E21" s="179"/>
      <c r="F21" s="179"/>
      <c r="G21" s="198" t="s">
        <v>89</v>
      </c>
      <c r="H21" s="199"/>
      <c r="I21" s="199"/>
      <c r="J21" s="199"/>
      <c r="K21" s="200"/>
      <c r="L21" s="87">
        <v>50</v>
      </c>
      <c r="M21" s="94" t="str">
        <f>VLOOKUP(N21,Sheet1!$A$1:$B$93,2)</f>
        <v xml:space="preserve"> خمس</v>
      </c>
      <c r="N21" s="68">
        <f>VLOOKUP($U$8,'Nilai Tahriri'!$A$2:$AP$41,15,FALSE)</f>
        <v>5</v>
      </c>
      <c r="O21" s="103"/>
      <c r="P21" s="180" t="s">
        <v>110</v>
      </c>
      <c r="Q21" s="181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79" t="s">
        <v>138</v>
      </c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94" t="str">
        <f>VLOOKUP(N22,Sheet1!$A$1:$B$93,2)</f>
        <v xml:space="preserve"> ستّ</v>
      </c>
      <c r="N22" s="68">
        <f>VLOOKUP($U$8,'Nilai Tahriri'!$A$2:$AP$41,16,FALSE)</f>
        <v>6</v>
      </c>
      <c r="O22" s="103"/>
      <c r="P22" s="180" t="s">
        <v>10</v>
      </c>
      <c r="Q22" s="181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ستّ</v>
      </c>
      <c r="C23" s="195">
        <f>VLOOKUP($U$8,'Nilai Syafahi'!$A$4:$AA$43,15,FALSE)</f>
        <v>6</v>
      </c>
      <c r="D23" s="195"/>
      <c r="E23" s="195"/>
      <c r="F23" s="195"/>
      <c r="G23" s="196" t="s">
        <v>179</v>
      </c>
      <c r="H23" s="197"/>
      <c r="I23" s="197"/>
      <c r="J23" s="197"/>
      <c r="K23" s="197"/>
      <c r="L23" s="88">
        <v>51</v>
      </c>
      <c r="M23" s="94" t="str">
        <f>VLOOKUP(N23,Sheet1!$A$1:$B$93,2)</f>
        <v xml:space="preserve"> ست و نصف</v>
      </c>
      <c r="N23" s="68">
        <f>VLOOKUP($U$8,'Nilai Tahriri'!$A$2:$AP$41,17,FALSE)</f>
        <v>6.5</v>
      </c>
      <c r="O23" s="103"/>
      <c r="P23" s="180" t="s">
        <v>12</v>
      </c>
      <c r="Q23" s="181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ستّ</v>
      </c>
      <c r="C24" s="195">
        <f>VLOOKUP($U$8,'Nilai Syafahi'!$A$4:$AA$43,16,FALSE)</f>
        <v>6</v>
      </c>
      <c r="D24" s="195"/>
      <c r="E24" s="195"/>
      <c r="F24" s="195"/>
      <c r="G24" s="194" t="s">
        <v>16</v>
      </c>
      <c r="H24" s="180"/>
      <c r="I24" s="180"/>
      <c r="J24" s="180"/>
      <c r="K24" s="180"/>
      <c r="L24" s="89">
        <v>52</v>
      </c>
      <c r="M24" s="94" t="str">
        <f>VLOOKUP(N24,Sheet1!$A$1:$B$93,2)</f>
        <v xml:space="preserve"> خمس</v>
      </c>
      <c r="N24" s="68">
        <f>VLOOKUP($U$8,'Nilai Tahriri'!$A$2:$AP$41,18,FALSE)</f>
        <v>5</v>
      </c>
      <c r="O24" s="103"/>
      <c r="P24" s="180" t="s">
        <v>111</v>
      </c>
      <c r="Q24" s="181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اربع</v>
      </c>
      <c r="C25" s="195">
        <f>VLOOKUP($U$8,'Nilai Syafahi'!$A$4:$AA$43,17,FALSE)</f>
        <v>4</v>
      </c>
      <c r="D25" s="195"/>
      <c r="E25" s="195"/>
      <c r="F25" s="195"/>
      <c r="G25" s="194" t="s">
        <v>103</v>
      </c>
      <c r="H25" s="180"/>
      <c r="I25" s="180"/>
      <c r="J25" s="180"/>
      <c r="K25" s="180"/>
      <c r="L25" s="90">
        <v>53</v>
      </c>
      <c r="M25" s="94" t="str">
        <f>VLOOKUP(N25,Sheet1!$A$1:$B$93,2)</f>
        <v xml:space="preserve"> خمس</v>
      </c>
      <c r="N25" s="68">
        <f>VLOOKUP($U$8,'Nilai Tahriri'!$A$2:$AP$41,19,FALSE)</f>
        <v>5</v>
      </c>
      <c r="O25" s="103"/>
      <c r="P25" s="180" t="s">
        <v>112</v>
      </c>
      <c r="Q25" s="181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اربع</v>
      </c>
      <c r="C26" s="195">
        <f>VLOOKUP($U$8,'Nilai Syafahi'!$A$4:$AA$43,18,FALSE)</f>
        <v>4</v>
      </c>
      <c r="D26" s="195"/>
      <c r="E26" s="195"/>
      <c r="F26" s="195"/>
      <c r="G26" s="194" t="s">
        <v>283</v>
      </c>
      <c r="H26" s="180"/>
      <c r="I26" s="180"/>
      <c r="J26" s="180"/>
      <c r="K26" s="180"/>
      <c r="L26" s="89">
        <v>54</v>
      </c>
      <c r="M26" s="94" t="str">
        <f>VLOOKUP(N26,Sheet1!$A$1:$B$93,2)</f>
        <v xml:space="preserve"> خمس</v>
      </c>
      <c r="N26" s="68">
        <f>VLOOKUP($U$8,'Nilai Tahriri'!$A$2:$AP$41,20,FALSE)</f>
        <v>5</v>
      </c>
      <c r="O26" s="103"/>
      <c r="P26" s="180" t="s">
        <v>113</v>
      </c>
      <c r="Q26" s="181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ستّ</v>
      </c>
      <c r="C27" s="195">
        <f>VLOOKUP($U$8,'Nilai Syafahi'!$A$4:$AA$43,19,FALSE)</f>
        <v>6</v>
      </c>
      <c r="D27" s="195"/>
      <c r="E27" s="195"/>
      <c r="F27" s="195"/>
      <c r="G27" s="194" t="s">
        <v>280</v>
      </c>
      <c r="H27" s="180"/>
      <c r="I27" s="180"/>
      <c r="J27" s="180"/>
      <c r="K27" s="181"/>
      <c r="L27" s="90">
        <v>55</v>
      </c>
      <c r="M27" s="94" t="str">
        <f>VLOOKUP(N27,Sheet1!$A$1:$B$93,2)</f>
        <v xml:space="preserve"> سبع و نصف</v>
      </c>
      <c r="N27" s="68">
        <f>VLOOKUP($U$8,'Nilai Tahriri'!$A$2:$AP$41,21,FALSE)</f>
        <v>7.5</v>
      </c>
      <c r="O27" s="103"/>
      <c r="P27" s="180" t="s">
        <v>114</v>
      </c>
      <c r="Q27" s="181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</v>
      </c>
      <c r="C28" s="238">
        <f>VLOOKUP($U$8,'Nilai Syafahi'!$A$4:$AA$43,20,FALSE)</f>
        <v>0</v>
      </c>
      <c r="D28" s="238"/>
      <c r="E28" s="238"/>
      <c r="F28" s="238"/>
      <c r="G28" s="194" t="s">
        <v>19</v>
      </c>
      <c r="H28" s="180"/>
      <c r="I28" s="180"/>
      <c r="J28" s="180"/>
      <c r="K28" s="180"/>
      <c r="L28" s="91">
        <v>56</v>
      </c>
      <c r="M28" s="94" t="str">
        <f>VLOOKUP(N28,Sheet1!$A$1:$B$93,2)</f>
        <v xml:space="preserve"> ستّ</v>
      </c>
      <c r="N28" s="68">
        <f>VLOOKUP($U$8,'Nilai Tahriri'!$A$2:$AP$41,22,FALSE)</f>
        <v>6</v>
      </c>
      <c r="O28" s="103"/>
      <c r="P28" s="180" t="s">
        <v>115</v>
      </c>
      <c r="Q28" s="181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0" t="s">
        <v>139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94" t="str">
        <f>VLOOKUP(N29,Sheet1!$A$1:$B$93,2)</f>
        <v xml:space="preserve"> سبع</v>
      </c>
      <c r="N29" s="68">
        <f>VLOOKUP($U$8,'Nilai Tahriri'!$A$2:$AP$41,23,FALSE)</f>
        <v>7</v>
      </c>
      <c r="O29" s="103"/>
      <c r="P29" s="180" t="s">
        <v>116</v>
      </c>
      <c r="Q29" s="181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5"/>
      <c r="D30" s="195"/>
      <c r="E30" s="195"/>
      <c r="F30" s="195"/>
      <c r="G30" s="184" t="s">
        <v>21</v>
      </c>
      <c r="H30" s="185"/>
      <c r="I30" s="185"/>
      <c r="J30" s="185"/>
      <c r="K30" s="186"/>
      <c r="L30" s="92">
        <v>57</v>
      </c>
      <c r="M30" s="94" t="str">
        <f>VLOOKUP(N30,Sheet1!$A$1:$B$93,2)</f>
        <v xml:space="preserve"> سبع</v>
      </c>
      <c r="N30" s="68">
        <f>VLOOKUP($U$8,'Nilai Tahriri'!$A$2:$AP$41,24,FALSE)</f>
        <v>7</v>
      </c>
      <c r="O30" s="103"/>
      <c r="P30" s="180" t="s">
        <v>117</v>
      </c>
      <c r="Q30" s="181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5"/>
      <c r="D31" s="195"/>
      <c r="E31" s="195"/>
      <c r="F31" s="195"/>
      <c r="G31" s="194" t="s">
        <v>22</v>
      </c>
      <c r="H31" s="180"/>
      <c r="I31" s="180"/>
      <c r="J31" s="180"/>
      <c r="K31" s="181"/>
      <c r="L31" s="89">
        <v>58</v>
      </c>
      <c r="M31" s="94" t="str">
        <f>VLOOKUP(N31,Sheet1!$A$1:$B$93,2)</f>
        <v xml:space="preserve"> </v>
      </c>
      <c r="N31" s="68">
        <f>VLOOKUP($U$8,'Nilai Tahriri'!$A$2:$AP$41,25,FALSE)</f>
        <v>0</v>
      </c>
      <c r="O31" s="103"/>
      <c r="P31" s="180" t="s">
        <v>118</v>
      </c>
      <c r="Q31" s="181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5"/>
      <c r="D32" s="235"/>
      <c r="E32" s="235"/>
      <c r="F32" s="235"/>
      <c r="G32" s="194" t="s">
        <v>24</v>
      </c>
      <c r="H32" s="180"/>
      <c r="I32" s="180"/>
      <c r="J32" s="180"/>
      <c r="K32" s="181"/>
      <c r="L32" s="92">
        <v>59</v>
      </c>
      <c r="M32" s="94" t="str">
        <f>VLOOKUP(N32,Sheet1!$A$1:$B$93,2)</f>
        <v xml:space="preserve"> اربع</v>
      </c>
      <c r="N32" s="68">
        <f>VLOOKUP($U$8,'Nilai Tahriri'!$A$2:$AP$41,26,FALSE)</f>
        <v>4</v>
      </c>
      <c r="O32" s="103"/>
      <c r="P32" s="180" t="s">
        <v>28</v>
      </c>
      <c r="Q32" s="181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5"/>
      <c r="D33" s="235"/>
      <c r="E33" s="235"/>
      <c r="F33" s="235"/>
      <c r="G33" s="276" t="s">
        <v>25</v>
      </c>
      <c r="H33" s="277"/>
      <c r="I33" s="277"/>
      <c r="J33" s="277"/>
      <c r="K33" s="278"/>
      <c r="L33" s="89">
        <v>60</v>
      </c>
      <c r="M33" s="94" t="str">
        <f>VLOOKUP(N33,Sheet1!$A$1:$B$93,2)</f>
        <v xml:space="preserve"> سبع</v>
      </c>
      <c r="N33" s="68">
        <f>VLOOKUP($U$8,'Nilai Tahriri'!$A$2:$AP$41,27,FALSE)</f>
        <v>7</v>
      </c>
      <c r="O33" s="103"/>
      <c r="P33" s="180" t="s">
        <v>119</v>
      </c>
      <c r="Q33" s="181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4">
        <f>VLOOKUP($U$8,'Nilai Syafahi'!$A$4:$AA$43,21,FALSE)</f>
        <v>75.5</v>
      </c>
      <c r="C34" s="245"/>
      <c r="D34" s="245"/>
      <c r="E34" s="245"/>
      <c r="F34" s="245"/>
      <c r="G34" s="245"/>
      <c r="H34" s="245"/>
      <c r="I34" s="245"/>
      <c r="J34" s="245"/>
      <c r="K34" s="246" t="s">
        <v>27</v>
      </c>
      <c r="L34" s="247"/>
      <c r="M34" s="94" t="str">
        <f>VLOOKUP(N34,Sheet1!$A$1:$B$93,2)</f>
        <v xml:space="preserve"> ستّ</v>
      </c>
      <c r="N34" s="68">
        <f>VLOOKUP($U$8,'Nilai Tahriri'!$A$2:$AP$41,28,FALSE)</f>
        <v>6</v>
      </c>
      <c r="O34" s="103"/>
      <c r="P34" s="180" t="s">
        <v>120</v>
      </c>
      <c r="Q34" s="181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7"/>
      <c r="C35" s="258"/>
      <c r="D35" s="258"/>
      <c r="E35" s="258"/>
      <c r="F35" s="258"/>
      <c r="G35" s="258"/>
      <c r="H35" s="258"/>
      <c r="I35" s="258"/>
      <c r="J35" s="258"/>
      <c r="K35" s="259"/>
      <c r="L35" s="206"/>
      <c r="M35" s="94" t="str">
        <f>VLOOKUP(N35,Sheet1!$A$1:$B$93,2)</f>
        <v xml:space="preserve"> ثمان</v>
      </c>
      <c r="N35" s="96">
        <f>VLOOKUP($U$8,'Nilai Tahriri'!$A$2:$AP$41,29,FALSE)</f>
        <v>8</v>
      </c>
      <c r="O35" s="102" t="s">
        <v>137</v>
      </c>
      <c r="P35" s="180" t="s">
        <v>121</v>
      </c>
      <c r="Q35" s="181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39" t="s">
        <v>31</v>
      </c>
      <c r="C36" s="240"/>
      <c r="D36" s="240"/>
      <c r="E36" s="240"/>
      <c r="F36" s="240"/>
      <c r="G36" s="240"/>
      <c r="H36" s="240"/>
      <c r="I36" s="240"/>
      <c r="J36" s="240"/>
      <c r="K36" s="241"/>
      <c r="L36" s="207"/>
      <c r="M36" s="94" t="str">
        <f>VLOOKUP(N36,Sheet1!$A$1:$B$93,2)</f>
        <v xml:space="preserve"> سبع</v>
      </c>
      <c r="N36" s="68">
        <f>VLOOKUP($U$8,'Nilai Tahriri'!$A$2:$AP$41,30,FALSE)</f>
        <v>7</v>
      </c>
      <c r="O36" s="102" t="s">
        <v>135</v>
      </c>
      <c r="P36" s="180" t="s">
        <v>122</v>
      </c>
      <c r="Q36" s="181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0" t="s">
        <v>32</v>
      </c>
      <c r="C37" s="211"/>
      <c r="D37" s="211" t="s">
        <v>33</v>
      </c>
      <c r="E37" s="211"/>
      <c r="F37" s="211"/>
      <c r="G37" s="211"/>
      <c r="H37" s="211"/>
      <c r="I37" s="211"/>
      <c r="J37" s="211"/>
      <c r="K37" s="37" t="s">
        <v>34</v>
      </c>
      <c r="L37" s="207"/>
      <c r="M37" s="94" t="str">
        <f>VLOOKUP(N37,Sheet1!$A$1:$B$93,2)</f>
        <v xml:space="preserve"> ستّ</v>
      </c>
      <c r="N37" s="68">
        <f>VLOOKUP($U$8,'Nilai Tahriri'!$A$2:$AP$41,31,FALSE)</f>
        <v>6</v>
      </c>
      <c r="O37" s="102" t="s">
        <v>136</v>
      </c>
      <c r="P37" s="180" t="s">
        <v>123</v>
      </c>
      <c r="Q37" s="181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8">
        <f>VLOOKUP($U$8,Akhlak!$A$4:$J$43,6,FALSE)</f>
        <v>8</v>
      </c>
      <c r="C38" s="249"/>
      <c r="D38" s="249">
        <f>VLOOKUP($U$8,Akhlak!$A$4:$J$43,5,FALSE)</f>
        <v>8</v>
      </c>
      <c r="E38" s="249"/>
      <c r="F38" s="249"/>
      <c r="G38" s="249"/>
      <c r="H38" s="249"/>
      <c r="I38" s="249"/>
      <c r="J38" s="249"/>
      <c r="K38" s="38">
        <f>VLOOKUP($U$8,Akhlak!$A$4:$J$43,4,FALSE)</f>
        <v>8</v>
      </c>
      <c r="L38" s="207"/>
      <c r="M38" s="94" t="str">
        <f>VLOOKUP(N38,Sheet1!$A$1:$B$93,2)</f>
        <v xml:space="preserve"> ستّ</v>
      </c>
      <c r="N38" s="68">
        <f>VLOOKUP($U$8,'Nilai Tahriri'!$A$2:$AP$41,32,FALSE)</f>
        <v>6</v>
      </c>
      <c r="O38" s="102" t="s">
        <v>36</v>
      </c>
      <c r="P38" s="180" t="s">
        <v>124</v>
      </c>
      <c r="Q38" s="181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2" t="s">
        <v>35</v>
      </c>
      <c r="C39" s="213"/>
      <c r="D39" s="213"/>
      <c r="E39" s="213"/>
      <c r="F39" s="213"/>
      <c r="G39" s="213"/>
      <c r="H39" s="213"/>
      <c r="I39" s="213"/>
      <c r="J39" s="213"/>
      <c r="K39" s="214"/>
      <c r="L39" s="207"/>
      <c r="M39" s="94" t="str">
        <f>VLOOKUP(N39,Sheet1!$A$1:$B$93,2)</f>
        <v xml:space="preserve"> ثمان</v>
      </c>
      <c r="N39" s="68">
        <f>VLOOKUP($U$8,'Nilai Tahriri'!$A$2:$AP$41,33,FALSE)</f>
        <v>8</v>
      </c>
      <c r="O39" s="102" t="s">
        <v>40</v>
      </c>
      <c r="P39" s="180" t="s">
        <v>125</v>
      </c>
      <c r="Q39" s="181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5" t="s">
        <v>37</v>
      </c>
      <c r="C40" s="216"/>
      <c r="D40" s="216" t="s">
        <v>38</v>
      </c>
      <c r="E40" s="216"/>
      <c r="F40" s="216"/>
      <c r="G40" s="216"/>
      <c r="H40" s="216"/>
      <c r="I40" s="216"/>
      <c r="J40" s="216"/>
      <c r="K40" s="37" t="s">
        <v>39</v>
      </c>
      <c r="L40" s="207"/>
      <c r="M40" s="94" t="str">
        <f>VLOOKUP(N40,Sheet1!$A$1:$B$93,2)</f>
        <v xml:space="preserve"> ثمان</v>
      </c>
      <c r="N40" s="68">
        <f>VLOOKUP($U$8,'Nilai Tahriri'!$A$2:$AP$41,34,FALSE)</f>
        <v>8</v>
      </c>
      <c r="O40" s="102" t="s">
        <v>43</v>
      </c>
      <c r="P40" s="180" t="s">
        <v>126</v>
      </c>
      <c r="Q40" s="181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6">
        <f>VLOOKUP($U$8,Akhlak!$A$4:$J$43,9,FALSE)</f>
        <v>1</v>
      </c>
      <c r="C41" s="237"/>
      <c r="D41" s="237">
        <f>VLOOKUP($U$8,Akhlak!$A$4:$J$43,8,FALSE)</f>
        <v>1</v>
      </c>
      <c r="E41" s="237"/>
      <c r="F41" s="237"/>
      <c r="G41" s="237"/>
      <c r="H41" s="237"/>
      <c r="I41" s="237"/>
      <c r="J41" s="237"/>
      <c r="K41" s="38">
        <f>VLOOKUP($U$8,Akhlak!$A$4:$J$43,7,FALSE)</f>
        <v>0</v>
      </c>
      <c r="L41" s="207"/>
      <c r="M41" s="94" t="str">
        <f>VLOOKUP(N41,Sheet1!$A$1:$B$93,2)</f>
        <v xml:space="preserve"> </v>
      </c>
      <c r="N41" s="68"/>
      <c r="O41" s="102" t="s">
        <v>44</v>
      </c>
      <c r="P41" s="180" t="s">
        <v>127</v>
      </c>
      <c r="Q41" s="181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3" t="s">
        <v>41</v>
      </c>
      <c r="C42" s="234"/>
      <c r="D42" s="260" t="s">
        <v>42</v>
      </c>
      <c r="E42" s="260"/>
      <c r="F42" s="260"/>
      <c r="G42" s="260"/>
      <c r="H42" s="260"/>
      <c r="I42" s="260"/>
      <c r="J42" s="260"/>
      <c r="K42" s="261"/>
      <c r="L42" s="208"/>
      <c r="M42" s="94" t="str">
        <f>VLOOKUP(N42,Sheet1!$A$1:$B$93,2)</f>
        <v xml:space="preserve"> </v>
      </c>
      <c r="N42" s="68"/>
      <c r="O42" s="102" t="s">
        <v>46</v>
      </c>
      <c r="P42" s="180" t="s">
        <v>128</v>
      </c>
      <c r="Q42" s="181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5">
        <f ca="1">VLOOKUP($U$8,'Nilai Syafahi'!$A$4:$AA$43,26,FALSE)</f>
        <v>20</v>
      </c>
      <c r="C43" s="226"/>
      <c r="D43" s="219">
        <f>VLOOKUP($U$8,'Nilai Syafahi'!$A$4:$AA$43,25,FALSE)</f>
        <v>5.8708333333333336</v>
      </c>
      <c r="E43" s="220"/>
      <c r="F43" s="220"/>
      <c r="G43" s="220"/>
      <c r="H43" s="220"/>
      <c r="I43" s="220"/>
      <c r="J43" s="221"/>
      <c r="K43" s="217">
        <f>VLOOKUP($U$8,'Nilai Syafahi'!$A$4:$AA$43,24,FALSE)</f>
        <v>281.8</v>
      </c>
      <c r="L43" s="207"/>
      <c r="M43" s="94" t="str">
        <f>VLOOKUP(N43,Sheet1!$A$1:$B$93,2)</f>
        <v xml:space="preserve"> </v>
      </c>
      <c r="N43" s="68"/>
      <c r="O43" s="102" t="s">
        <v>47</v>
      </c>
      <c r="P43" s="180" t="s">
        <v>129</v>
      </c>
      <c r="Q43" s="181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7"/>
      <c r="C44" s="228"/>
      <c r="D44" s="222"/>
      <c r="E44" s="223"/>
      <c r="F44" s="223"/>
      <c r="G44" s="223"/>
      <c r="H44" s="223"/>
      <c r="I44" s="223"/>
      <c r="J44" s="224"/>
      <c r="K44" s="218"/>
      <c r="L44" s="207"/>
      <c r="M44" s="94" t="str">
        <f>VLOOKUP(N44,Sheet1!$A$1:$B$93,2)</f>
        <v xml:space="preserve"> ثمان</v>
      </c>
      <c r="N44" s="68">
        <f>VLOOKUP($U$8,'Nilai Tahriri'!$A$2:$AP$41,38,FALSE)</f>
        <v>8</v>
      </c>
      <c r="O44" s="102" t="s">
        <v>133</v>
      </c>
      <c r="P44" s="180" t="s">
        <v>130</v>
      </c>
      <c r="Q44" s="181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5" t="s">
        <v>45</v>
      </c>
      <c r="C45" s="256"/>
      <c r="D45" s="256"/>
      <c r="E45" s="256"/>
      <c r="F45" s="256"/>
      <c r="G45" s="256"/>
      <c r="H45" s="256"/>
      <c r="I45" s="256"/>
      <c r="J45" s="256"/>
      <c r="K45" s="256"/>
      <c r="L45" s="207"/>
      <c r="M45" s="94" t="str">
        <f>VLOOKUP(N45,Sheet1!$A$1:$B$93,2)</f>
        <v xml:space="preserve"> سبع و ثمان</v>
      </c>
      <c r="N45" s="68">
        <f>VLOOKUP($U$8,'Nilai Tahriri'!$A$2:$AP$41,39,FALSE)</f>
        <v>7.8</v>
      </c>
      <c r="O45" s="102" t="s">
        <v>92</v>
      </c>
      <c r="P45" s="180" t="s">
        <v>131</v>
      </c>
      <c r="Q45" s="181"/>
      <c r="R45" s="64">
        <v>37</v>
      </c>
      <c r="S45" s="21"/>
      <c r="T45" s="21"/>
      <c r="U45" s="21"/>
      <c r="V45" s="229"/>
      <c r="W45" s="229"/>
      <c r="X45" s="229"/>
      <c r="Y45" s="21"/>
      <c r="Z45" s="21"/>
      <c r="AA45" s="21"/>
      <c r="AB45" s="21"/>
    </row>
    <row r="46" spans="2:28" ht="15.65" customHeight="1" x14ac:dyDescent="0.35">
      <c r="B46" s="250" t="str">
        <f>VLOOKUP($U$8,Akhlak!$A$4:$J$43,10,FALSE)</f>
        <v>كثرة القراءة مفتاح باب العلم</v>
      </c>
      <c r="C46" s="251"/>
      <c r="D46" s="251"/>
      <c r="E46" s="251"/>
      <c r="F46" s="251"/>
      <c r="G46" s="251"/>
      <c r="H46" s="251"/>
      <c r="I46" s="251"/>
      <c r="J46" s="251"/>
      <c r="K46" s="252"/>
      <c r="L46" s="207"/>
      <c r="M46" s="94" t="str">
        <f>VLOOKUP(N46,Sheet1!$A$1:$B$93,2)</f>
        <v xml:space="preserve"> </v>
      </c>
      <c r="N46" s="68"/>
      <c r="O46" s="102" t="s">
        <v>48</v>
      </c>
      <c r="P46" s="180" t="s">
        <v>132</v>
      </c>
      <c r="Q46" s="181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3"/>
      <c r="C47" s="191"/>
      <c r="D47" s="191"/>
      <c r="E47" s="191"/>
      <c r="F47" s="191"/>
      <c r="G47" s="191"/>
      <c r="H47" s="191"/>
      <c r="I47" s="191"/>
      <c r="J47" s="191"/>
      <c r="K47" s="254"/>
      <c r="L47" s="207"/>
      <c r="M47" s="95" t="str">
        <f>VLOOKUP(N47,Sheet1!$A$1:$B$93,2)</f>
        <v xml:space="preserve"> ستّ</v>
      </c>
      <c r="N47" s="68">
        <f>VLOOKUP($U$8,'Nilai Tahriri'!$A$2:$AP$41,40,FALSE)</f>
        <v>6</v>
      </c>
      <c r="O47" s="101" t="s">
        <v>134</v>
      </c>
      <c r="P47" s="242" t="s">
        <v>53</v>
      </c>
      <c r="Q47" s="243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268" t="s">
        <v>274</v>
      </c>
      <c r="C48" s="269"/>
      <c r="D48" s="269"/>
      <c r="E48" s="269"/>
      <c r="F48" s="269"/>
      <c r="G48" s="269"/>
      <c r="H48" s="269"/>
      <c r="I48" s="269"/>
      <c r="J48" s="269"/>
      <c r="K48" s="82" t="s">
        <v>180</v>
      </c>
      <c r="L48" s="209"/>
      <c r="M48" s="270">
        <f>VLOOKUP($U$8,'Nilai Tahriri'!$A$2:$AP$41,41,FALSE)</f>
        <v>206.3</v>
      </c>
      <c r="N48" s="271">
        <f>VLOOKUP($U$8,'Nilai Tahriri'!$A$2:$AO$41,41,FALSE)</f>
        <v>206.3</v>
      </c>
      <c r="O48" s="271">
        <f>VLOOKUP($U$8,'Nilai Tahriri'!$A$2:$AO$41,41,FALSE)</f>
        <v>206.3</v>
      </c>
      <c r="P48" s="202" t="s">
        <v>27</v>
      </c>
      <c r="Q48" s="202"/>
      <c r="R48" s="203"/>
      <c r="S48" s="21"/>
      <c r="T48" s="21"/>
      <c r="U48" s="21"/>
      <c r="V48" s="21"/>
      <c r="W48" s="21"/>
      <c r="X48" s="21"/>
      <c r="Y48" s="21"/>
      <c r="Z48" s="232"/>
      <c r="AA48" s="232"/>
      <c r="AB48" s="232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4"/>
      <c r="D50" s="204"/>
      <c r="E50" s="204"/>
      <c r="F50" s="204"/>
      <c r="G50" s="204"/>
      <c r="H50" s="204"/>
      <c r="I50" s="204"/>
      <c r="J50" s="204"/>
      <c r="K50" s="204"/>
      <c r="L50" s="46"/>
      <c r="M50" s="201" t="str">
        <f>Biodata!$C$13</f>
        <v>١٩ من جمادى الآخر سنة ١٤٤٦ ه</v>
      </c>
      <c r="N50" s="201"/>
      <c r="O50" s="201"/>
      <c r="P50" s="201"/>
      <c r="Q50" s="205" t="s">
        <v>49</v>
      </c>
      <c r="R50" s="205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4"/>
      <c r="D51" s="204"/>
      <c r="E51" s="204"/>
      <c r="F51" s="204"/>
      <c r="G51" s="204"/>
      <c r="H51" s="204"/>
      <c r="I51" s="204"/>
      <c r="J51" s="204"/>
      <c r="K51" s="204"/>
      <c r="L51" s="46"/>
      <c r="M51" s="201" t="str">
        <f>Biodata!$C$14</f>
        <v>٢٠ من ديسمبر سنة ٢٠٢٤ م</v>
      </c>
      <c r="N51" s="201"/>
      <c r="O51" s="201"/>
      <c r="P51" s="201"/>
      <c r="Q51" s="205"/>
      <c r="R51" s="205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4" t="s">
        <v>51</v>
      </c>
      <c r="C53" s="264"/>
      <c r="D53" s="264"/>
      <c r="E53" s="264"/>
      <c r="F53" s="264"/>
      <c r="G53" s="264"/>
      <c r="H53" s="264"/>
      <c r="I53" s="264"/>
      <c r="J53" s="264"/>
      <c r="K53" s="264"/>
      <c r="L53" s="46"/>
      <c r="M53" s="45"/>
      <c r="N53" s="50"/>
      <c r="O53" s="263" t="s">
        <v>52</v>
      </c>
      <c r="P53" s="263"/>
      <c r="Q53" s="263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2" t="s">
        <v>159</v>
      </c>
      <c r="L54" s="172"/>
      <c r="M54" s="172"/>
      <c r="N54" s="172"/>
      <c r="O54" s="172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5" t="str">
        <f>Biodata!$C$19</f>
        <v>الأستاذ أحمد دمياطي</v>
      </c>
      <c r="P56" s="265"/>
      <c r="Q56" s="265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2" t="str">
        <f>Biodata!$C$16</f>
        <v>كياهى الحاج شهاب المعي</v>
      </c>
      <c r="L58" s="262"/>
      <c r="M58" s="262"/>
      <c r="N58" s="262"/>
      <c r="O58" s="262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x/Yhe+FGbLONepCCWCVITbHe0/AADORNfPqJP0qWCojF/eWNjGjhVmaGyh5ik7vfH38TDYwJbb6nuMyvO1Wm9A==" saltValue="w3DT0AaVSxg9rI4P6yvEGg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0.23622047244094491" right="3.937007874015748E-2" top="7.874015748031496E-2" bottom="0.11811023622047245" header="0.31496062992125984" footer="0.31496062992125984"/>
  <pageSetup paperSize="10000" fitToHeight="0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34"/>
  <sheetViews>
    <sheetView tabSelected="1" view="pageLayout" zoomScaleNormal="100" workbookViewId="0">
      <selection activeCell="B6" sqref="B6:B8"/>
    </sheetView>
  </sheetViews>
  <sheetFormatPr defaultRowHeight="14.5" x14ac:dyDescent="0.35"/>
  <cols>
    <col min="1" max="1" width="5.26953125" customWidth="1"/>
    <col min="2" max="2" width="30.54296875" style="108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171</v>
      </c>
      <c r="B1" s="281"/>
      <c r="C1" s="281"/>
      <c r="D1" s="281"/>
      <c r="E1" s="281"/>
      <c r="F1" s="281"/>
      <c r="G1" s="281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2" t="str">
        <f>Biodata!C4</f>
        <v>السادس أ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12" t="s">
        <v>76</v>
      </c>
      <c r="B5" s="112" t="s">
        <v>166</v>
      </c>
      <c r="C5" s="112" t="s">
        <v>54</v>
      </c>
      <c r="D5" s="112" t="s">
        <v>78</v>
      </c>
      <c r="E5" s="112" t="s">
        <v>169</v>
      </c>
      <c r="F5" s="112" t="s">
        <v>170</v>
      </c>
      <c r="G5" s="112" t="s">
        <v>168</v>
      </c>
    </row>
    <row r="6" spans="1:7" ht="18" customHeight="1" x14ac:dyDescent="0.35">
      <c r="A6" s="7">
        <v>1</v>
      </c>
      <c r="B6" s="111" t="str">
        <f>'Data Siswa'!B13</f>
        <v>MUHAMMAD LUCKY LUKMAN</v>
      </c>
      <c r="C6" s="7" t="str">
        <f>'Data Siswa'!C13</f>
        <v>0519</v>
      </c>
      <c r="D6" s="9">
        <f>'Nilai Syafahi'!X15</f>
        <v>357.7</v>
      </c>
      <c r="E6" s="8">
        <f>'Nilai Syafahi'!Y15</f>
        <v>7.4520833333333334</v>
      </c>
      <c r="F6" s="6">
        <f ca="1">'Nilai Syafahi'!Z15</f>
        <v>1</v>
      </c>
      <c r="G6" s="6" t="str">
        <f>'Nilai Syafahi'!AA15</f>
        <v>-</v>
      </c>
    </row>
    <row r="7" spans="1:7" ht="18" customHeight="1" x14ac:dyDescent="0.35">
      <c r="A7" s="7">
        <v>2</v>
      </c>
      <c r="B7" s="111" t="str">
        <f>'Data Siswa'!B17</f>
        <v>NAZID ZULFA NOOR</v>
      </c>
      <c r="C7" s="7" t="str">
        <f>'Data Siswa'!C17</f>
        <v>0523</v>
      </c>
      <c r="D7" s="9">
        <f>'Nilai Syafahi'!X19</f>
        <v>337.5</v>
      </c>
      <c r="E7" s="8">
        <f>'Nilai Syafahi'!Y19</f>
        <v>7.03125</v>
      </c>
      <c r="F7" s="6">
        <f ca="1">'Nilai Syafahi'!Z19</f>
        <v>2</v>
      </c>
      <c r="G7" s="6" t="str">
        <f>'Nilai Syafahi'!AA19</f>
        <v>-</v>
      </c>
    </row>
    <row r="8" spans="1:7" ht="18" customHeight="1" x14ac:dyDescent="0.35">
      <c r="A8" s="7">
        <v>3</v>
      </c>
      <c r="B8" s="111" t="str">
        <f>'Data Siswa'!B16</f>
        <v>MUHAMMAD ZAKI ALGIFARI</v>
      </c>
      <c r="C8" s="7" t="str">
        <f>'Data Siswa'!C16</f>
        <v>0522</v>
      </c>
      <c r="D8" s="9">
        <f>'Nilai Syafahi'!X18</f>
        <v>333</v>
      </c>
      <c r="E8" s="8">
        <f>'Nilai Syafahi'!Y18</f>
        <v>6.9375</v>
      </c>
      <c r="F8" s="6">
        <f ca="1">'Nilai Syafahi'!Z18</f>
        <v>3</v>
      </c>
      <c r="G8" s="6" t="str">
        <f>'Nilai Syafahi'!AA18</f>
        <v>-</v>
      </c>
    </row>
    <row r="9" spans="1:7" ht="18" customHeight="1" x14ac:dyDescent="0.35">
      <c r="A9" s="7">
        <v>4</v>
      </c>
      <c r="B9" s="111" t="str">
        <f>'Data Siswa'!B23</f>
        <v>SULTAN MAULANA FAHRI</v>
      </c>
      <c r="C9" s="7" t="str">
        <f>'Data Siswa'!C23</f>
        <v>0529</v>
      </c>
      <c r="D9" s="9">
        <f>'Nilai Syafahi'!X25</f>
        <v>331</v>
      </c>
      <c r="E9" s="8">
        <f>'Nilai Syafahi'!Y25</f>
        <v>6.895833333333333</v>
      </c>
      <c r="F9" s="6">
        <f ca="1">'Nilai Syafahi'!Z25</f>
        <v>4</v>
      </c>
      <c r="G9" s="6" t="str">
        <f>'Nilai Syafahi'!AA25</f>
        <v>-</v>
      </c>
    </row>
    <row r="10" spans="1:7" ht="18" customHeight="1" x14ac:dyDescent="0.35">
      <c r="A10" s="7">
        <v>5</v>
      </c>
      <c r="B10" s="111" t="str">
        <f>'Data Siswa'!B11</f>
        <v>MUHAMAD ZIDAN BAWAZIER</v>
      </c>
      <c r="C10" s="7" t="str">
        <f>'Data Siswa'!C11</f>
        <v>0517</v>
      </c>
      <c r="D10" s="9">
        <f>'Nilai Syafahi'!X13</f>
        <v>325.5</v>
      </c>
      <c r="E10" s="8">
        <f>'Nilai Syafahi'!Y13</f>
        <v>6.78125</v>
      </c>
      <c r="F10" s="6">
        <f ca="1">'Nilai Syafahi'!Z13</f>
        <v>5</v>
      </c>
      <c r="G10" s="6" t="str">
        <f>'Nilai Syafahi'!AA13</f>
        <v>-</v>
      </c>
    </row>
    <row r="11" spans="1:7" ht="18" customHeight="1" x14ac:dyDescent="0.35">
      <c r="A11" s="7">
        <v>6</v>
      </c>
      <c r="B11" s="111" t="str">
        <f>'Data Siswa'!B20</f>
        <v>RIZKY ARIF FIRMANSYAH</v>
      </c>
      <c r="C11" s="7" t="str">
        <f>'Data Siswa'!C20</f>
        <v>0526</v>
      </c>
      <c r="D11" s="9">
        <f>'Nilai Syafahi'!X22</f>
        <v>325.2</v>
      </c>
      <c r="E11" s="8">
        <f>'Nilai Syafahi'!Y22</f>
        <v>6.7749999999999995</v>
      </c>
      <c r="F11" s="6">
        <f ca="1">'Nilai Syafahi'!Z22</f>
        <v>6</v>
      </c>
      <c r="G11" s="6" t="str">
        <f>'Nilai Syafahi'!AA22</f>
        <v>-</v>
      </c>
    </row>
    <row r="12" spans="1:7" ht="18" customHeight="1" x14ac:dyDescent="0.35">
      <c r="A12" s="7">
        <v>7</v>
      </c>
      <c r="B12" s="111" t="str">
        <f>'Data Siswa'!B4</f>
        <v>ALIEF RAMADHAN BADRI</v>
      </c>
      <c r="C12" s="7" t="str">
        <f>'Data Siswa'!C4</f>
        <v>0510</v>
      </c>
      <c r="D12" s="9">
        <f>'Nilai Syafahi'!X6</f>
        <v>321</v>
      </c>
      <c r="E12" s="8">
        <f>'Nilai Syafahi'!Y6</f>
        <v>6.6875</v>
      </c>
      <c r="F12" s="6">
        <f ca="1">'Nilai Syafahi'!Z6</f>
        <v>7</v>
      </c>
      <c r="G12" s="6" t="str">
        <f>'Nilai Syafahi'!AA6</f>
        <v>-</v>
      </c>
    </row>
    <row r="13" spans="1:7" ht="18" customHeight="1" x14ac:dyDescent="0.35">
      <c r="A13" s="7">
        <v>8</v>
      </c>
      <c r="B13" s="111" t="str">
        <f>'Data Siswa'!B22</f>
        <v>SUJENI TURANDI</v>
      </c>
      <c r="C13" s="7" t="str">
        <f>'Data Siswa'!C22</f>
        <v>0528</v>
      </c>
      <c r="D13" s="9">
        <f>'Nilai Syafahi'!X24</f>
        <v>316.5</v>
      </c>
      <c r="E13" s="8">
        <f>'Nilai Syafahi'!Y24</f>
        <v>6.59375</v>
      </c>
      <c r="F13" s="6">
        <f ca="1">'Nilai Syafahi'!Z24</f>
        <v>8</v>
      </c>
      <c r="G13" s="6" t="str">
        <f>'Nilai Syafahi'!AA24</f>
        <v>-</v>
      </c>
    </row>
    <row r="14" spans="1:7" ht="18" customHeight="1" x14ac:dyDescent="0.35">
      <c r="A14" s="7">
        <v>9</v>
      </c>
      <c r="B14" s="111" t="str">
        <f>'Data Siswa'!B12</f>
        <v>MUHAMMAD DZAKY ARYA PRATAMA</v>
      </c>
      <c r="C14" s="7" t="str">
        <f>'Data Siswa'!C12</f>
        <v>0518</v>
      </c>
      <c r="D14" s="9">
        <f>'Nilai Syafahi'!X14</f>
        <v>311.2</v>
      </c>
      <c r="E14" s="8">
        <f>'Nilai Syafahi'!Y14</f>
        <v>6.4833333333333334</v>
      </c>
      <c r="F14" s="6">
        <f ca="1">'Nilai Syafahi'!Z14</f>
        <v>9</v>
      </c>
      <c r="G14" s="6" t="str">
        <f>'Nilai Syafahi'!AA14</f>
        <v>-</v>
      </c>
    </row>
    <row r="15" spans="1:7" ht="18" customHeight="1" x14ac:dyDescent="0.35">
      <c r="A15" s="7">
        <v>10</v>
      </c>
      <c r="B15" s="111" t="str">
        <f>'Data Siswa'!B10</f>
        <v>MUHAMAD IRSAN APRIANSYAH</v>
      </c>
      <c r="C15" s="7" t="str">
        <f>'Data Siswa'!C10</f>
        <v>0516</v>
      </c>
      <c r="D15" s="9">
        <f>'Nilai Syafahi'!X12</f>
        <v>309.5</v>
      </c>
      <c r="E15" s="8">
        <f>'Nilai Syafahi'!Y12</f>
        <v>6.447916666666667</v>
      </c>
      <c r="F15" s="6">
        <f ca="1">'Nilai Syafahi'!Z12</f>
        <v>10</v>
      </c>
      <c r="G15" s="6" t="str">
        <f>'Nilai Syafahi'!AA12</f>
        <v>-</v>
      </c>
    </row>
    <row r="16" spans="1:7" ht="18" customHeight="1" x14ac:dyDescent="0.35">
      <c r="A16" s="7">
        <v>11</v>
      </c>
      <c r="B16" s="111" t="str">
        <f>'Data Siswa'!B6</f>
        <v>DAIVA WAHYU AJI ARDIAN</v>
      </c>
      <c r="C16" s="7" t="str">
        <f>'Data Siswa'!C6</f>
        <v>0512</v>
      </c>
      <c r="D16" s="9">
        <f>'Nilai Syafahi'!X8</f>
        <v>301.5</v>
      </c>
      <c r="E16" s="8">
        <f>'Nilai Syafahi'!Y8</f>
        <v>6.28125</v>
      </c>
      <c r="F16" s="6">
        <f ca="1">'Nilai Syafahi'!Z8</f>
        <v>11</v>
      </c>
      <c r="G16" s="6" t="str">
        <f>'Nilai Syafahi'!AA8</f>
        <v>-</v>
      </c>
    </row>
    <row r="17" spans="1:7" ht="18" customHeight="1" x14ac:dyDescent="0.35">
      <c r="A17" s="7">
        <v>12</v>
      </c>
      <c r="B17" s="111" t="str">
        <f>'Data Siswa'!B3</f>
        <v>AHMAD YAZID ZIDAN</v>
      </c>
      <c r="C17" s="7" t="str">
        <f>'Data Siswa'!C3</f>
        <v>0509</v>
      </c>
      <c r="D17" s="9">
        <f>'Nilai Syafahi'!X5</f>
        <v>300</v>
      </c>
      <c r="E17" s="8">
        <f>'Nilai Syafahi'!Y5</f>
        <v>6.25</v>
      </c>
      <c r="F17" s="6">
        <f ca="1">'Nilai Syafahi'!Z5</f>
        <v>12</v>
      </c>
      <c r="G17" s="6" t="str">
        <f>'Nilai Syafahi'!AA5</f>
        <v>-</v>
      </c>
    </row>
    <row r="18" spans="1:7" ht="18" customHeight="1" x14ac:dyDescent="0.35">
      <c r="A18" s="7">
        <v>13</v>
      </c>
      <c r="B18" s="111" t="str">
        <f>'Data Siswa'!B24</f>
        <v>YOGI PRATAMA</v>
      </c>
      <c r="C18" s="7" t="str">
        <f>'Data Siswa'!C24</f>
        <v>0530</v>
      </c>
      <c r="D18" s="9">
        <f>'Nilai Syafahi'!X26</f>
        <v>295</v>
      </c>
      <c r="E18" s="8">
        <f>'Nilai Syafahi'!Y26</f>
        <v>6.145833333333333</v>
      </c>
      <c r="F18" s="6">
        <f ca="1">'Nilai Syafahi'!Z26</f>
        <v>13</v>
      </c>
      <c r="G18" s="6" t="str">
        <f>'Nilai Syafahi'!AA26</f>
        <v>-</v>
      </c>
    </row>
    <row r="19" spans="1:7" ht="18" customHeight="1" x14ac:dyDescent="0.35">
      <c r="A19" s="7">
        <v>14</v>
      </c>
      <c r="B19" s="111" t="str">
        <f>'Data Siswa'!B5</f>
        <v>ALWI RISFALDI</v>
      </c>
      <c r="C19" s="7" t="str">
        <f>'Data Siswa'!C5</f>
        <v>0511</v>
      </c>
      <c r="D19" s="9">
        <f>'Nilai Syafahi'!X7</f>
        <v>293.2</v>
      </c>
      <c r="E19" s="8">
        <f>'Nilai Syafahi'!Y7</f>
        <v>6.1083333333333334</v>
      </c>
      <c r="F19" s="6">
        <f ca="1">'Nilai Syafahi'!Z7</f>
        <v>14</v>
      </c>
      <c r="G19" s="6" t="str">
        <f>'Nilai Syafahi'!AA7</f>
        <v>-</v>
      </c>
    </row>
    <row r="20" spans="1:7" ht="18" customHeight="1" x14ac:dyDescent="0.35">
      <c r="A20" s="7">
        <v>15</v>
      </c>
      <c r="B20" s="111" t="str">
        <f>'Data Siswa'!B9</f>
        <v>MUHAMAD IRFAN HABIB AL JAUHAR</v>
      </c>
      <c r="C20" s="7" t="str">
        <f>'Data Siswa'!C9</f>
        <v>0515</v>
      </c>
      <c r="D20" s="9">
        <f>'Nilai Syafahi'!X11</f>
        <v>289.89999999999998</v>
      </c>
      <c r="E20" s="8">
        <f>'Nilai Syafahi'!Y11</f>
        <v>6.0395833333333329</v>
      </c>
      <c r="F20" s="6">
        <f ca="1">'Nilai Syafahi'!Z11</f>
        <v>15</v>
      </c>
      <c r="G20" s="6" t="str">
        <f>'Nilai Syafahi'!AA11</f>
        <v>-</v>
      </c>
    </row>
    <row r="21" spans="1:7" ht="18" customHeight="1" x14ac:dyDescent="0.35">
      <c r="A21" s="7">
        <v>16</v>
      </c>
      <c r="B21" s="111" t="str">
        <f>'Data Siswa'!B21</f>
        <v>SAKTIAJI AL-BAQRY</v>
      </c>
      <c r="C21" s="7" t="str">
        <f>'Data Siswa'!C21</f>
        <v>0527</v>
      </c>
      <c r="D21" s="9">
        <f>'Nilai Syafahi'!X23</f>
        <v>289.8</v>
      </c>
      <c r="E21" s="8">
        <f>'Nilai Syafahi'!Y23</f>
        <v>6.0375000000000005</v>
      </c>
      <c r="F21" s="6">
        <f ca="1">'Nilai Syafahi'!Z23</f>
        <v>16</v>
      </c>
      <c r="G21" s="6" t="str">
        <f>'Nilai Syafahi'!AA23</f>
        <v>-</v>
      </c>
    </row>
    <row r="22" spans="1:7" ht="18" customHeight="1" x14ac:dyDescent="0.35">
      <c r="A22" s="7">
        <v>17</v>
      </c>
      <c r="B22" s="111" t="str">
        <f>'Data Siswa'!B14</f>
        <v>MUHAMMAD NUFRIZAL</v>
      </c>
      <c r="C22" s="7" t="str">
        <f>'Data Siswa'!C14</f>
        <v>0520</v>
      </c>
      <c r="D22" s="9">
        <f>'Nilai Syafahi'!X16</f>
        <v>286.8</v>
      </c>
      <c r="E22" s="8">
        <f>'Nilai Syafahi'!Y16</f>
        <v>5.9750000000000005</v>
      </c>
      <c r="F22" s="6">
        <f ca="1">'Nilai Syafahi'!Z16</f>
        <v>17</v>
      </c>
      <c r="G22" s="6" t="str">
        <f>'Nilai Syafahi'!AA16</f>
        <v>-</v>
      </c>
    </row>
    <row r="23" spans="1:7" ht="18" customHeight="1" x14ac:dyDescent="0.35">
      <c r="A23" s="7">
        <v>18</v>
      </c>
      <c r="B23" s="111" t="str">
        <f>'Data Siswa'!B15</f>
        <v>MUHAMMAD RIZKI RAMADHANI</v>
      </c>
      <c r="C23" s="7" t="str">
        <f>'Data Siswa'!C15</f>
        <v>0521</v>
      </c>
      <c r="D23" s="9">
        <f>'Nilai Syafahi'!X17</f>
        <v>285.7</v>
      </c>
      <c r="E23" s="8">
        <f>'Nilai Syafahi'!Y17</f>
        <v>5.9520833333333334</v>
      </c>
      <c r="F23" s="6">
        <f ca="1">'Nilai Syafahi'!Z17</f>
        <v>18</v>
      </c>
      <c r="G23" s="6" t="str">
        <f>'Nilai Syafahi'!AA17</f>
        <v>-</v>
      </c>
    </row>
    <row r="24" spans="1:7" ht="18" customHeight="1" x14ac:dyDescent="0.35">
      <c r="A24" s="7">
        <v>19</v>
      </c>
      <c r="B24" s="111" t="str">
        <f>'Data Siswa'!B18</f>
        <v>NIBRAAS CAHYA GEMILANG</v>
      </c>
      <c r="C24" s="7" t="str">
        <f>'Data Siswa'!C18</f>
        <v>0524</v>
      </c>
      <c r="D24" s="9">
        <f>'Nilai Syafahi'!X20</f>
        <v>284.2</v>
      </c>
      <c r="E24" s="8">
        <f>'Nilai Syafahi'!Y20</f>
        <v>5.9208333333333334</v>
      </c>
      <c r="F24" s="6">
        <f ca="1">'Nilai Syafahi'!Z20</f>
        <v>19</v>
      </c>
      <c r="G24" s="6" t="str">
        <f>'Nilai Syafahi'!AA20</f>
        <v>-</v>
      </c>
    </row>
    <row r="25" spans="1:7" ht="18" customHeight="1" x14ac:dyDescent="0.35">
      <c r="A25" s="7">
        <v>20</v>
      </c>
      <c r="B25" s="111" t="str">
        <f>'Data Siswa'!B2</f>
        <v>AHMAD FARIS</v>
      </c>
      <c r="C25" s="7" t="str">
        <f>'Data Siswa'!C2</f>
        <v>0508</v>
      </c>
      <c r="D25" s="9">
        <f>'Nilai Syafahi'!X4</f>
        <v>281.8</v>
      </c>
      <c r="E25" s="8">
        <f>'Nilai Syafahi'!Y4</f>
        <v>5.8708333333333336</v>
      </c>
      <c r="F25" s="6">
        <f ca="1">'Nilai Syafahi'!Z4</f>
        <v>20</v>
      </c>
      <c r="G25" s="6" t="str">
        <f>'Nilai Syafahi'!AA4</f>
        <v>-</v>
      </c>
    </row>
    <row r="26" spans="1:7" ht="18" customHeight="1" x14ac:dyDescent="0.35">
      <c r="A26" s="7">
        <v>21</v>
      </c>
      <c r="B26" s="111" t="str">
        <f>'Data Siswa'!B8</f>
        <v>KHOLIL IBRAHIM</v>
      </c>
      <c r="C26" s="7" t="str">
        <f>'Data Siswa'!C8</f>
        <v>0514</v>
      </c>
      <c r="D26" s="9">
        <f>'Nilai Syafahi'!X10</f>
        <v>281.5</v>
      </c>
      <c r="E26" s="8">
        <f>'Nilai Syafahi'!Y10</f>
        <v>5.864583333333333</v>
      </c>
      <c r="F26" s="6">
        <f ca="1">'Nilai Syafahi'!Z10</f>
        <v>21</v>
      </c>
      <c r="G26" s="6" t="str">
        <f>'Nilai Syafahi'!AA10</f>
        <v>-</v>
      </c>
    </row>
    <row r="27" spans="1:7" ht="18" customHeight="1" x14ac:dyDescent="0.35">
      <c r="A27" s="7">
        <v>22</v>
      </c>
      <c r="B27" s="111" t="str">
        <f>'Data Siswa'!B19</f>
        <v>REFALDI</v>
      </c>
      <c r="C27" s="7" t="str">
        <f>'Data Siswa'!C19</f>
        <v>0525</v>
      </c>
      <c r="D27" s="9">
        <f>'Nilai Syafahi'!X21</f>
        <v>277.5</v>
      </c>
      <c r="E27" s="8">
        <f>'Nilai Syafahi'!Y21</f>
        <v>5.78125</v>
      </c>
      <c r="F27" s="6">
        <f ca="1">'Nilai Syafahi'!Z21</f>
        <v>22</v>
      </c>
      <c r="G27" s="6" t="str">
        <f>'Nilai Syafahi'!AA21</f>
        <v>-</v>
      </c>
    </row>
    <row r="28" spans="1:7" ht="18" customHeight="1" x14ac:dyDescent="0.35">
      <c r="A28" s="7">
        <v>23</v>
      </c>
      <c r="B28" s="111" t="str">
        <f>'Data Siswa'!B7</f>
        <v>FALIH KHAIRAN AL GHANI</v>
      </c>
      <c r="C28" s="7" t="str">
        <f>'Data Siswa'!C7</f>
        <v>0513</v>
      </c>
      <c r="D28" s="9">
        <f>'Nilai Syafahi'!X9</f>
        <v>272.3</v>
      </c>
      <c r="E28" s="8">
        <f>'Nilai Syafahi'!Y9</f>
        <v>5.6729166666666666</v>
      </c>
      <c r="F28" s="6">
        <f ca="1">'Nilai Syafahi'!Z9</f>
        <v>23</v>
      </c>
      <c r="G28" s="6" t="str">
        <f>'Nilai Syafahi'!AA9</f>
        <v>-</v>
      </c>
    </row>
    <row r="30" spans="1:7" ht="18.5" x14ac:dyDescent="0.45">
      <c r="D30" s="109"/>
      <c r="E30" s="283" t="s">
        <v>161</v>
      </c>
      <c r="F30" s="283"/>
      <c r="G30" s="283"/>
    </row>
    <row r="31" spans="1:7" ht="18.5" x14ac:dyDescent="0.45">
      <c r="D31" s="109"/>
      <c r="E31" s="110"/>
      <c r="F31" s="110"/>
    </row>
    <row r="32" spans="1:7" ht="18.5" x14ac:dyDescent="0.45">
      <c r="D32" s="109"/>
      <c r="E32" s="110"/>
      <c r="F32" s="110"/>
    </row>
    <row r="33" spans="4:7" ht="18.5" x14ac:dyDescent="0.45">
      <c r="D33" s="109"/>
      <c r="E33" s="284" t="str">
        <f>Biodata!C19</f>
        <v>الأستاذ أحمد دمياطي</v>
      </c>
      <c r="F33" s="284"/>
      <c r="G33" s="284"/>
    </row>
    <row r="34" spans="4:7" ht="14.5" customHeight="1" x14ac:dyDescent="0.35"/>
  </sheetData>
  <autoFilter ref="B5:G28" xr:uid="{9B107FC2-4A67-485D-ABF2-C433B07F70C5}">
    <sortState xmlns:xlrd2="http://schemas.microsoft.com/office/spreadsheetml/2017/richdata2" ref="B6:G28">
      <sortCondition ref="F5:F28"/>
    </sortState>
  </autoFilter>
  <mergeCells count="4">
    <mergeCell ref="A1:G1"/>
    <mergeCell ref="A3:G3"/>
    <mergeCell ref="E30:G30"/>
    <mergeCell ref="E33:G33"/>
  </mergeCells>
  <pageMargins left="0.7" right="0.7" top="0.31179138321995464" bottom="0.28472222222222221" header="0.3" footer="0.3"/>
  <pageSetup paperSize="25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96</v>
      </c>
    </row>
    <row r="3" spans="1:2" x14ac:dyDescent="0.35">
      <c r="A3" s="4">
        <v>1</v>
      </c>
      <c r="B3" s="2" t="s">
        <v>264</v>
      </c>
    </row>
    <row r="4" spans="1:2" x14ac:dyDescent="0.35">
      <c r="A4" s="4">
        <v>1.1000000000000001</v>
      </c>
      <c r="B4" s="2" t="s">
        <v>265</v>
      </c>
    </row>
    <row r="5" spans="1:2" x14ac:dyDescent="0.35">
      <c r="A5" s="4">
        <v>1.2</v>
      </c>
      <c r="B5" s="2" t="s">
        <v>273</v>
      </c>
    </row>
    <row r="6" spans="1:2" x14ac:dyDescent="0.35">
      <c r="A6" s="4">
        <v>1.3</v>
      </c>
      <c r="B6" s="2" t="s">
        <v>266</v>
      </c>
    </row>
    <row r="7" spans="1:2" x14ac:dyDescent="0.35">
      <c r="A7" s="4">
        <v>1.4</v>
      </c>
      <c r="B7" s="2" t="s">
        <v>267</v>
      </c>
    </row>
    <row r="8" spans="1:2" x14ac:dyDescent="0.35">
      <c r="A8" s="4">
        <v>1.5</v>
      </c>
      <c r="B8" s="2" t="s">
        <v>268</v>
      </c>
    </row>
    <row r="9" spans="1:2" x14ac:dyDescent="0.35">
      <c r="A9" s="4">
        <v>1.6</v>
      </c>
      <c r="B9" s="2" t="s">
        <v>269</v>
      </c>
    </row>
    <row r="10" spans="1:2" x14ac:dyDescent="0.35">
      <c r="A10" s="4">
        <v>1.7</v>
      </c>
      <c r="B10" s="2" t="s">
        <v>270</v>
      </c>
    </row>
    <row r="11" spans="1:2" x14ac:dyDescent="0.35">
      <c r="A11" s="4">
        <v>1.8</v>
      </c>
      <c r="B11" s="2" t="s">
        <v>271</v>
      </c>
    </row>
    <row r="12" spans="1:2" x14ac:dyDescent="0.35">
      <c r="A12" s="4">
        <v>1.9</v>
      </c>
      <c r="B12" s="2" t="s">
        <v>272</v>
      </c>
    </row>
    <row r="13" spans="1:2" x14ac:dyDescent="0.35">
      <c r="A13" s="4">
        <v>2</v>
      </c>
      <c r="B13" s="2" t="s">
        <v>181</v>
      </c>
    </row>
    <row r="14" spans="1:2" x14ac:dyDescent="0.35">
      <c r="A14" s="4">
        <v>2.1</v>
      </c>
      <c r="B14" s="2" t="s">
        <v>182</v>
      </c>
    </row>
    <row r="15" spans="1:2" x14ac:dyDescent="0.35">
      <c r="A15" s="4">
        <v>2.2000000000000002</v>
      </c>
      <c r="B15" s="2" t="s">
        <v>183</v>
      </c>
    </row>
    <row r="16" spans="1:2" x14ac:dyDescent="0.35">
      <c r="A16" s="4">
        <v>2.2999999999999998</v>
      </c>
      <c r="B16" s="2" t="s">
        <v>184</v>
      </c>
    </row>
    <row r="17" spans="1:2" x14ac:dyDescent="0.35">
      <c r="A17" s="4">
        <v>2.4</v>
      </c>
      <c r="B17" s="2" t="s">
        <v>185</v>
      </c>
    </row>
    <row r="18" spans="1:2" x14ac:dyDescent="0.35">
      <c r="A18" s="4">
        <v>2.5</v>
      </c>
      <c r="B18" s="2" t="s">
        <v>186</v>
      </c>
    </row>
    <row r="19" spans="1:2" x14ac:dyDescent="0.35">
      <c r="A19" s="4">
        <v>2.6</v>
      </c>
      <c r="B19" s="2" t="s">
        <v>187</v>
      </c>
    </row>
    <row r="20" spans="1:2" x14ac:dyDescent="0.35">
      <c r="A20" s="4">
        <v>2.7</v>
      </c>
      <c r="B20" s="2" t="s">
        <v>188</v>
      </c>
    </row>
    <row r="21" spans="1:2" x14ac:dyDescent="0.35">
      <c r="A21" s="4">
        <v>2.8</v>
      </c>
      <c r="B21" s="2" t="s">
        <v>189</v>
      </c>
    </row>
    <row r="22" spans="1:2" x14ac:dyDescent="0.35">
      <c r="A22" s="4">
        <v>2.9</v>
      </c>
      <c r="B22" s="2" t="s">
        <v>190</v>
      </c>
    </row>
    <row r="23" spans="1:2" x14ac:dyDescent="0.35">
      <c r="A23" s="4">
        <v>3</v>
      </c>
      <c r="B23" s="2" t="s">
        <v>191</v>
      </c>
    </row>
    <row r="24" spans="1:2" x14ac:dyDescent="0.35">
      <c r="A24" s="4">
        <v>3.1</v>
      </c>
      <c r="B24" s="2" t="s">
        <v>192</v>
      </c>
    </row>
    <row r="25" spans="1:2" x14ac:dyDescent="0.35">
      <c r="A25" s="4">
        <v>3.2</v>
      </c>
      <c r="B25" s="2" t="s">
        <v>193</v>
      </c>
    </row>
    <row r="26" spans="1:2" x14ac:dyDescent="0.35">
      <c r="A26" s="4">
        <v>3.3</v>
      </c>
      <c r="B26" s="2" t="s">
        <v>194</v>
      </c>
    </row>
    <row r="27" spans="1:2" x14ac:dyDescent="0.35">
      <c r="A27" s="4">
        <v>3.4</v>
      </c>
      <c r="B27" s="2" t="s">
        <v>195</v>
      </c>
    </row>
    <row r="28" spans="1:2" x14ac:dyDescent="0.35">
      <c r="A28" s="4">
        <v>3.5</v>
      </c>
      <c r="B28" s="2" t="s">
        <v>196</v>
      </c>
    </row>
    <row r="29" spans="1:2" x14ac:dyDescent="0.35">
      <c r="A29" s="4">
        <v>3.6</v>
      </c>
      <c r="B29" s="2" t="s">
        <v>197</v>
      </c>
    </row>
    <row r="30" spans="1:2" x14ac:dyDescent="0.35">
      <c r="A30" s="4">
        <v>3.7</v>
      </c>
      <c r="B30" s="2" t="s">
        <v>198</v>
      </c>
    </row>
    <row r="31" spans="1:2" x14ac:dyDescent="0.35">
      <c r="A31" s="4">
        <v>3.8</v>
      </c>
      <c r="B31" s="2" t="s">
        <v>199</v>
      </c>
    </row>
    <row r="32" spans="1:2" x14ac:dyDescent="0.35">
      <c r="A32" s="4">
        <v>3.9</v>
      </c>
      <c r="B32" s="2" t="s">
        <v>200</v>
      </c>
    </row>
    <row r="33" spans="1:2" x14ac:dyDescent="0.35">
      <c r="A33" s="4">
        <v>4</v>
      </c>
      <c r="B33" s="2" t="s">
        <v>201</v>
      </c>
    </row>
    <row r="34" spans="1:2" x14ac:dyDescent="0.35">
      <c r="A34" s="4">
        <v>4.0999999999999996</v>
      </c>
      <c r="B34" s="2" t="s">
        <v>202</v>
      </c>
    </row>
    <row r="35" spans="1:2" x14ac:dyDescent="0.35">
      <c r="A35" s="4">
        <v>4.2</v>
      </c>
      <c r="B35" s="2" t="s">
        <v>203</v>
      </c>
    </row>
    <row r="36" spans="1:2" x14ac:dyDescent="0.35">
      <c r="A36" s="4">
        <v>4.3</v>
      </c>
      <c r="B36" s="2" t="s">
        <v>204</v>
      </c>
    </row>
    <row r="37" spans="1:2" x14ac:dyDescent="0.35">
      <c r="A37" s="4">
        <v>4.4000000000000004</v>
      </c>
      <c r="B37" s="2" t="s">
        <v>205</v>
      </c>
    </row>
    <row r="38" spans="1:2" x14ac:dyDescent="0.35">
      <c r="A38" s="4">
        <v>4.5</v>
      </c>
      <c r="B38" s="2" t="s">
        <v>206</v>
      </c>
    </row>
    <row r="39" spans="1:2" x14ac:dyDescent="0.35">
      <c r="A39" s="4">
        <v>4.5999999999999996</v>
      </c>
      <c r="B39" s="2" t="s">
        <v>207</v>
      </c>
    </row>
    <row r="40" spans="1:2" x14ac:dyDescent="0.35">
      <c r="A40" s="4">
        <v>4.7</v>
      </c>
      <c r="B40" s="2" t="s">
        <v>208</v>
      </c>
    </row>
    <row r="41" spans="1:2" x14ac:dyDescent="0.35">
      <c r="A41" s="4">
        <v>4.8</v>
      </c>
      <c r="B41" s="2" t="s">
        <v>209</v>
      </c>
    </row>
    <row r="42" spans="1:2" x14ac:dyDescent="0.35">
      <c r="A42" s="4">
        <v>4.9000000000000004</v>
      </c>
      <c r="B42" s="2" t="s">
        <v>210</v>
      </c>
    </row>
    <row r="43" spans="1:2" x14ac:dyDescent="0.35">
      <c r="A43" s="4">
        <v>5</v>
      </c>
      <c r="B43" s="2" t="s">
        <v>211</v>
      </c>
    </row>
    <row r="44" spans="1:2" x14ac:dyDescent="0.35">
      <c r="A44" s="4">
        <v>5.0999999999999996</v>
      </c>
      <c r="B44" s="2" t="s">
        <v>212</v>
      </c>
    </row>
    <row r="45" spans="1:2" x14ac:dyDescent="0.35">
      <c r="A45" s="4">
        <v>5.2</v>
      </c>
      <c r="B45" s="2" t="s">
        <v>213</v>
      </c>
    </row>
    <row r="46" spans="1:2" x14ac:dyDescent="0.35">
      <c r="A46" s="4">
        <v>5.3</v>
      </c>
      <c r="B46" s="2" t="s">
        <v>214</v>
      </c>
    </row>
    <row r="47" spans="1:2" x14ac:dyDescent="0.35">
      <c r="A47" s="4">
        <v>5.4</v>
      </c>
      <c r="B47" s="2" t="s">
        <v>215</v>
      </c>
    </row>
    <row r="48" spans="1:2" x14ac:dyDescent="0.35">
      <c r="A48" s="4">
        <v>5.5</v>
      </c>
      <c r="B48" s="2" t="s">
        <v>216</v>
      </c>
    </row>
    <row r="49" spans="1:2" x14ac:dyDescent="0.35">
      <c r="A49" s="4">
        <v>5.6</v>
      </c>
      <c r="B49" s="2" t="s">
        <v>217</v>
      </c>
    </row>
    <row r="50" spans="1:2" x14ac:dyDescent="0.35">
      <c r="A50" s="4">
        <v>5.7</v>
      </c>
      <c r="B50" s="2" t="s">
        <v>218</v>
      </c>
    </row>
    <row r="51" spans="1:2" x14ac:dyDescent="0.35">
      <c r="A51" s="4">
        <v>5.8</v>
      </c>
      <c r="B51" s="2" t="s">
        <v>219</v>
      </c>
    </row>
    <row r="52" spans="1:2" x14ac:dyDescent="0.35">
      <c r="A52" s="4">
        <v>5.9</v>
      </c>
      <c r="B52" s="2" t="s">
        <v>220</v>
      </c>
    </row>
    <row r="53" spans="1:2" x14ac:dyDescent="0.35">
      <c r="A53" s="4">
        <v>6</v>
      </c>
      <c r="B53" s="2" t="s">
        <v>221</v>
      </c>
    </row>
    <row r="54" spans="1:2" x14ac:dyDescent="0.35">
      <c r="A54" s="4">
        <v>6.1</v>
      </c>
      <c r="B54" s="2" t="s">
        <v>222</v>
      </c>
    </row>
    <row r="55" spans="1:2" x14ac:dyDescent="0.35">
      <c r="A55" s="4">
        <v>6.2</v>
      </c>
      <c r="B55" s="2" t="s">
        <v>223</v>
      </c>
    </row>
    <row r="56" spans="1:2" x14ac:dyDescent="0.35">
      <c r="A56" s="4">
        <v>6.3</v>
      </c>
      <c r="B56" s="2" t="s">
        <v>224</v>
      </c>
    </row>
    <row r="57" spans="1:2" x14ac:dyDescent="0.35">
      <c r="A57" s="4">
        <v>6.4</v>
      </c>
      <c r="B57" s="2" t="s">
        <v>225</v>
      </c>
    </row>
    <row r="58" spans="1:2" x14ac:dyDescent="0.35">
      <c r="A58" s="4">
        <v>6.5</v>
      </c>
      <c r="B58" s="2" t="s">
        <v>226</v>
      </c>
    </row>
    <row r="59" spans="1:2" x14ac:dyDescent="0.35">
      <c r="A59" s="4">
        <v>6.6</v>
      </c>
      <c r="B59" s="2" t="s">
        <v>227</v>
      </c>
    </row>
    <row r="60" spans="1:2" x14ac:dyDescent="0.35">
      <c r="A60" s="4">
        <v>6.7</v>
      </c>
      <c r="B60" s="2" t="s">
        <v>228</v>
      </c>
    </row>
    <row r="61" spans="1:2" x14ac:dyDescent="0.35">
      <c r="A61" s="4">
        <v>6.8</v>
      </c>
      <c r="B61" s="2" t="s">
        <v>229</v>
      </c>
    </row>
    <row r="62" spans="1:2" x14ac:dyDescent="0.35">
      <c r="A62" s="4">
        <v>6.9</v>
      </c>
      <c r="B62" s="2" t="s">
        <v>230</v>
      </c>
    </row>
    <row r="63" spans="1:2" x14ac:dyDescent="0.35">
      <c r="A63" s="4">
        <v>7</v>
      </c>
      <c r="B63" s="2" t="s">
        <v>231</v>
      </c>
    </row>
    <row r="64" spans="1:2" x14ac:dyDescent="0.35">
      <c r="A64" s="4">
        <v>7.1</v>
      </c>
      <c r="B64" s="2" t="s">
        <v>232</v>
      </c>
    </row>
    <row r="65" spans="1:2" x14ac:dyDescent="0.35">
      <c r="A65" s="4">
        <v>7.2</v>
      </c>
      <c r="B65" s="2" t="s">
        <v>233</v>
      </c>
    </row>
    <row r="66" spans="1:2" x14ac:dyDescent="0.35">
      <c r="A66" s="4">
        <v>7.3</v>
      </c>
      <c r="B66" s="2" t="s">
        <v>234</v>
      </c>
    </row>
    <row r="67" spans="1:2" x14ac:dyDescent="0.35">
      <c r="A67" s="4">
        <v>7.4</v>
      </c>
      <c r="B67" s="2" t="s">
        <v>235</v>
      </c>
    </row>
    <row r="68" spans="1:2" x14ac:dyDescent="0.35">
      <c r="A68" s="4">
        <v>7.5</v>
      </c>
      <c r="B68" s="2" t="s">
        <v>236</v>
      </c>
    </row>
    <row r="69" spans="1:2" x14ac:dyDescent="0.35">
      <c r="A69" s="4">
        <v>7.6</v>
      </c>
      <c r="B69" s="2" t="s">
        <v>237</v>
      </c>
    </row>
    <row r="70" spans="1:2" x14ac:dyDescent="0.35">
      <c r="A70" s="4">
        <v>7.7</v>
      </c>
      <c r="B70" s="2" t="s">
        <v>238</v>
      </c>
    </row>
    <row r="71" spans="1:2" x14ac:dyDescent="0.35">
      <c r="A71" s="4">
        <v>7.8</v>
      </c>
      <c r="B71" s="2" t="s">
        <v>239</v>
      </c>
    </row>
    <row r="72" spans="1:2" x14ac:dyDescent="0.35">
      <c r="A72" s="4">
        <v>7.9</v>
      </c>
      <c r="B72" s="2" t="s">
        <v>240</v>
      </c>
    </row>
    <row r="73" spans="1:2" x14ac:dyDescent="0.35">
      <c r="A73" s="4">
        <v>8</v>
      </c>
      <c r="B73" s="2" t="s">
        <v>241</v>
      </c>
    </row>
    <row r="74" spans="1:2" x14ac:dyDescent="0.35">
      <c r="A74" s="4">
        <v>8.1</v>
      </c>
      <c r="B74" s="2" t="s">
        <v>242</v>
      </c>
    </row>
    <row r="75" spans="1:2" x14ac:dyDescent="0.35">
      <c r="A75" s="4">
        <v>8.1999999999999993</v>
      </c>
      <c r="B75" s="2" t="s">
        <v>243</v>
      </c>
    </row>
    <row r="76" spans="1:2" x14ac:dyDescent="0.35">
      <c r="A76" s="4">
        <v>8.3000000000000007</v>
      </c>
      <c r="B76" s="2" t="s">
        <v>244</v>
      </c>
    </row>
    <row r="77" spans="1:2" x14ac:dyDescent="0.35">
      <c r="A77" s="4">
        <v>8.4</v>
      </c>
      <c r="B77" s="2" t="s">
        <v>245</v>
      </c>
    </row>
    <row r="78" spans="1:2" x14ac:dyDescent="0.35">
      <c r="A78" s="4">
        <v>8.5</v>
      </c>
      <c r="B78" s="2" t="s">
        <v>246</v>
      </c>
    </row>
    <row r="79" spans="1:2" x14ac:dyDescent="0.35">
      <c r="A79" s="4">
        <v>8.6</v>
      </c>
      <c r="B79" s="2" t="s">
        <v>247</v>
      </c>
    </row>
    <row r="80" spans="1:2" x14ac:dyDescent="0.35">
      <c r="A80" s="4">
        <v>8.6999999999999993</v>
      </c>
      <c r="B80" s="2" t="s">
        <v>248</v>
      </c>
    </row>
    <row r="81" spans="1:2" x14ac:dyDescent="0.35">
      <c r="A81" s="4">
        <v>8.8000000000000007</v>
      </c>
      <c r="B81" s="2" t="s">
        <v>249</v>
      </c>
    </row>
    <row r="82" spans="1:2" x14ac:dyDescent="0.35">
      <c r="A82" s="4">
        <v>8.9</v>
      </c>
      <c r="B82" s="2" t="s">
        <v>250</v>
      </c>
    </row>
    <row r="83" spans="1:2" x14ac:dyDescent="0.35">
      <c r="A83" s="4">
        <v>9</v>
      </c>
      <c r="B83" s="2" t="s">
        <v>251</v>
      </c>
    </row>
    <row r="84" spans="1:2" x14ac:dyDescent="0.35">
      <c r="A84" s="4">
        <v>9.1</v>
      </c>
      <c r="B84" s="2" t="s">
        <v>252</v>
      </c>
    </row>
    <row r="85" spans="1:2" x14ac:dyDescent="0.35">
      <c r="A85" s="4">
        <v>9.1999999999999993</v>
      </c>
      <c r="B85" s="2" t="s">
        <v>253</v>
      </c>
    </row>
    <row r="86" spans="1:2" x14ac:dyDescent="0.35">
      <c r="A86" s="4">
        <v>9.3000000000000007</v>
      </c>
      <c r="B86" s="2" t="s">
        <v>254</v>
      </c>
    </row>
    <row r="87" spans="1:2" x14ac:dyDescent="0.35">
      <c r="A87" s="4">
        <v>9.3999999999999897</v>
      </c>
      <c r="B87" s="2" t="s">
        <v>255</v>
      </c>
    </row>
    <row r="88" spans="1:2" x14ac:dyDescent="0.35">
      <c r="A88" s="4">
        <v>9.4999999999999893</v>
      </c>
      <c r="B88" s="2" t="s">
        <v>256</v>
      </c>
    </row>
    <row r="89" spans="1:2" x14ac:dyDescent="0.35">
      <c r="A89" s="4">
        <v>9.5999999999999908</v>
      </c>
      <c r="B89" s="2" t="s">
        <v>257</v>
      </c>
    </row>
    <row r="90" spans="1:2" x14ac:dyDescent="0.35">
      <c r="A90" s="4">
        <v>9.6999999999999904</v>
      </c>
      <c r="B90" s="2" t="s">
        <v>258</v>
      </c>
    </row>
    <row r="91" spans="1:2" x14ac:dyDescent="0.35">
      <c r="A91" s="4">
        <v>9.7999999999999901</v>
      </c>
      <c r="B91" s="2" t="s">
        <v>259</v>
      </c>
    </row>
    <row r="92" spans="1:2" x14ac:dyDescent="0.35">
      <c r="A92" s="4">
        <v>9.8999999999999897</v>
      </c>
      <c r="B92" s="2" t="s">
        <v>260</v>
      </c>
    </row>
    <row r="93" spans="1:2" x14ac:dyDescent="0.35">
      <c r="A93" s="4">
        <v>9.9999999999999893</v>
      </c>
      <c r="B93" s="2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2024-12-18T12:49:20Z</cp:lastPrinted>
  <dcterms:created xsi:type="dcterms:W3CDTF">2019-11-28T05:18:02Z</dcterms:created>
  <dcterms:modified xsi:type="dcterms:W3CDTF">2024-12-19T17:34:10Z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