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showInkAnnotation="0" codeName="Buku_Kerja_Ini"/>
  <mc:AlternateContent xmlns:mc="http://schemas.openxmlformats.org/markup-compatibility/2006">
    <mc:Choice Requires="x15">
      <x15ac:absPath xmlns:x15ac="http://schemas.microsoft.com/office/spreadsheetml/2010/11/ac" url="C:\Users\Ridwan Rifaldi\Desktop\Raport Semester Gasal 24.25\New folder\"/>
    </mc:Choice>
  </mc:AlternateContent>
  <xr:revisionPtr revIDLastSave="0" documentId="13_ncr:1_{F52F0F84-DA24-4838-ABA1-C9EE53F45C17}" xr6:coauthVersionLast="47" xr6:coauthVersionMax="47" xr10:uidLastSave="{00000000-0000-0000-0000-000000000000}"/>
  <bookViews>
    <workbookView xWindow="-110" yWindow="-110" windowWidth="19420" windowHeight="10300" tabRatio="792" firstSheet="1" activeTab="7" xr2:uid="{00000000-000D-0000-FFFF-FFFF00000000}"/>
  </bookViews>
  <sheets>
    <sheet name="Identitas" sheetId="7" state="hidden" r:id="rId1"/>
    <sheet name="Biodata" sheetId="8" r:id="rId2"/>
    <sheet name="Data Siswa" sheetId="2" r:id="rId3"/>
    <sheet name="Nilai Tahriri" sheetId="3" r:id="rId4"/>
    <sheet name="Nilai Syafahi" sheetId="4" r:id="rId5"/>
    <sheet name="Akhlak" sheetId="11" r:id="rId6"/>
    <sheet name="Rapot" sheetId="1" r:id="rId7"/>
    <sheet name="Rekap Nilai" sheetId="12" r:id="rId8"/>
    <sheet name="Sheet1" sheetId="5" state="hidden" r:id="rId9"/>
  </sheets>
  <definedNames>
    <definedName name="_xlnm._FilterDatabase" localSheetId="7" hidden="1">'Rekap Nilai'!$B$5:$G$45</definedName>
    <definedName name="nilai">'Nilai Tahriri'!$B$2:$AO$27</definedName>
    <definedName name="_xlnm.Print_Area" localSheetId="4">'Nilai Syafahi'!$A$1:$AA$43</definedName>
    <definedName name="_xlnm.Print_Area" localSheetId="6">Rapot!$A$1:$S$58</definedName>
  </definedNames>
  <calcPr calcId="181029"/>
</workbook>
</file>

<file path=xl/calcChain.xml><?xml version="1.0" encoding="utf-8"?>
<calcChain xmlns="http://schemas.openxmlformats.org/spreadsheetml/2006/main">
  <c r="K58" i="1" l="1"/>
  <c r="O3" i="1"/>
  <c r="B3" i="1"/>
  <c r="M51" i="1"/>
  <c r="M50" i="1"/>
  <c r="B12" i="8"/>
  <c r="B11" i="8"/>
  <c r="B4" i="1" s="1"/>
  <c r="B10" i="8"/>
  <c r="D3" i="1" s="1"/>
  <c r="A3" i="12"/>
  <c r="B28" i="12"/>
  <c r="B27" i="12"/>
  <c r="B22" i="12"/>
  <c r="B29" i="12"/>
  <c r="B20" i="12"/>
  <c r="B14" i="12"/>
  <c r="B25" i="12"/>
  <c r="B17" i="12"/>
  <c r="B26" i="12"/>
  <c r="B8" i="12"/>
  <c r="B19" i="12"/>
  <c r="B18" i="12"/>
  <c r="B21" i="12"/>
  <c r="B10" i="12"/>
  <c r="B11" i="12"/>
  <c r="B16" i="12"/>
  <c r="B12" i="12"/>
  <c r="B15" i="12"/>
  <c r="B6" i="12"/>
  <c r="B24" i="12"/>
  <c r="B9" i="12"/>
  <c r="B23" i="12"/>
  <c r="B7" i="12"/>
  <c r="B30" i="12"/>
  <c r="B31" i="12"/>
  <c r="B32" i="12"/>
  <c r="B33" i="12"/>
  <c r="B34" i="12"/>
  <c r="B35" i="12"/>
  <c r="B36" i="12"/>
  <c r="B37" i="12"/>
  <c r="B38" i="12"/>
  <c r="B39" i="12"/>
  <c r="B40" i="12"/>
  <c r="B41" i="12"/>
  <c r="B42" i="12"/>
  <c r="B43" i="12"/>
  <c r="B44" i="12"/>
  <c r="B45" i="12"/>
  <c r="B13" i="12"/>
  <c r="E50" i="12"/>
  <c r="C28" i="12"/>
  <c r="C27" i="12"/>
  <c r="C22" i="12"/>
  <c r="C29" i="12"/>
  <c r="C20" i="12"/>
  <c r="C14" i="12"/>
  <c r="C25" i="12"/>
  <c r="C17" i="12"/>
  <c r="C26" i="12"/>
  <c r="C8" i="12"/>
  <c r="C19" i="12"/>
  <c r="C18" i="12"/>
  <c r="C21" i="12"/>
  <c r="C10" i="12"/>
  <c r="C11" i="12"/>
  <c r="C16" i="12"/>
  <c r="C12" i="12"/>
  <c r="C15" i="12"/>
  <c r="C6" i="12"/>
  <c r="C24" i="12"/>
  <c r="C9" i="12"/>
  <c r="C23" i="12"/>
  <c r="C7" i="12"/>
  <c r="C30" i="12"/>
  <c r="C31" i="12"/>
  <c r="C32" i="12"/>
  <c r="C33" i="12"/>
  <c r="C34" i="12"/>
  <c r="C35" i="12"/>
  <c r="C36" i="12"/>
  <c r="C37" i="12"/>
  <c r="C38" i="12"/>
  <c r="C39" i="12"/>
  <c r="C40" i="12"/>
  <c r="C41" i="12"/>
  <c r="C42" i="12"/>
  <c r="C43" i="12"/>
  <c r="C44" i="12"/>
  <c r="C45" i="12"/>
  <c r="C13" i="12"/>
  <c r="A3" i="3" l="1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AP3" i="3"/>
  <c r="AP4" i="3"/>
  <c r="AP5" i="3"/>
  <c r="AP6" i="3"/>
  <c r="AP7" i="3"/>
  <c r="AP8" i="3"/>
  <c r="AP9" i="3"/>
  <c r="AP10" i="3"/>
  <c r="AP11" i="3"/>
  <c r="AP12" i="3"/>
  <c r="AP13" i="3"/>
  <c r="AP14" i="3"/>
  <c r="AP15" i="3"/>
  <c r="AP16" i="3"/>
  <c r="AP17" i="3"/>
  <c r="AP18" i="3"/>
  <c r="AP19" i="3"/>
  <c r="AP20" i="3"/>
  <c r="AP21" i="3"/>
  <c r="AP22" i="3"/>
  <c r="AP23" i="3"/>
  <c r="AP24" i="3"/>
  <c r="AP25" i="3"/>
  <c r="AP26" i="3"/>
  <c r="AP27" i="3"/>
  <c r="AP28" i="3"/>
  <c r="AP29" i="3"/>
  <c r="AP30" i="3"/>
  <c r="AP31" i="3"/>
  <c r="AP32" i="3"/>
  <c r="AP33" i="3"/>
  <c r="AP34" i="3"/>
  <c r="AP35" i="3"/>
  <c r="AP36" i="3"/>
  <c r="AP37" i="3"/>
  <c r="AP38" i="3"/>
  <c r="AP39" i="3"/>
  <c r="AP40" i="3"/>
  <c r="AP41" i="3"/>
  <c r="AP2" i="3"/>
  <c r="AO3" i="3"/>
  <c r="AO4" i="3"/>
  <c r="AO5" i="3"/>
  <c r="AO6" i="3"/>
  <c r="AO7" i="3"/>
  <c r="AO8" i="3"/>
  <c r="AO9" i="3"/>
  <c r="AO10" i="3"/>
  <c r="AO11" i="3"/>
  <c r="AO12" i="3"/>
  <c r="AO13" i="3"/>
  <c r="AO14" i="3"/>
  <c r="AO15" i="3"/>
  <c r="AO16" i="3"/>
  <c r="AO17" i="3"/>
  <c r="AO18" i="3"/>
  <c r="AO19" i="3"/>
  <c r="AO20" i="3"/>
  <c r="AO21" i="3"/>
  <c r="AO22" i="3"/>
  <c r="AO23" i="3"/>
  <c r="AO24" i="3"/>
  <c r="AO25" i="3"/>
  <c r="AO26" i="3"/>
  <c r="AO27" i="3"/>
  <c r="AO28" i="3"/>
  <c r="AO29" i="3"/>
  <c r="AO30" i="3"/>
  <c r="AO31" i="3"/>
  <c r="AO32" i="3"/>
  <c r="AO33" i="3"/>
  <c r="AO34" i="3"/>
  <c r="AO35" i="3"/>
  <c r="AO36" i="3"/>
  <c r="AO37" i="3"/>
  <c r="AO38" i="3"/>
  <c r="AO39" i="3"/>
  <c r="AO40" i="3"/>
  <c r="AO41" i="3"/>
  <c r="AO2" i="3"/>
  <c r="Y4" i="4"/>
  <c r="Y5" i="4"/>
  <c r="E28" i="12" s="1"/>
  <c r="Y6" i="4"/>
  <c r="E27" i="12" s="1"/>
  <c r="Y7" i="4"/>
  <c r="E22" i="12" s="1"/>
  <c r="Y8" i="4"/>
  <c r="E29" i="12" s="1"/>
  <c r="Y9" i="4"/>
  <c r="E20" i="12" s="1"/>
  <c r="Y10" i="4"/>
  <c r="E14" i="12" s="1"/>
  <c r="Y11" i="4"/>
  <c r="E25" i="12" s="1"/>
  <c r="Y12" i="4"/>
  <c r="E17" i="12" s="1"/>
  <c r="Y13" i="4"/>
  <c r="E26" i="12" s="1"/>
  <c r="Y14" i="4"/>
  <c r="E8" i="12" s="1"/>
  <c r="Y15" i="4"/>
  <c r="E19" i="12" s="1"/>
  <c r="Y16" i="4"/>
  <c r="E18" i="12" s="1"/>
  <c r="Y17" i="4"/>
  <c r="E21" i="12" s="1"/>
  <c r="Y18" i="4"/>
  <c r="E10" i="12" s="1"/>
  <c r="Y19" i="4"/>
  <c r="E11" i="12" s="1"/>
  <c r="Y20" i="4"/>
  <c r="E16" i="12" s="1"/>
  <c r="Y21" i="4"/>
  <c r="E12" i="12" s="1"/>
  <c r="Y22" i="4"/>
  <c r="E15" i="12" s="1"/>
  <c r="Y23" i="4"/>
  <c r="E6" i="12" s="1"/>
  <c r="Y24" i="4"/>
  <c r="E24" i="12" s="1"/>
  <c r="Y25" i="4"/>
  <c r="E9" i="12" s="1"/>
  <c r="Y26" i="4"/>
  <c r="E23" i="12" s="1"/>
  <c r="Y27" i="4"/>
  <c r="E7" i="12" s="1"/>
  <c r="Y28" i="4"/>
  <c r="E30" i="12" s="1"/>
  <c r="Y29" i="4"/>
  <c r="E31" i="12" s="1"/>
  <c r="Y30" i="4"/>
  <c r="E32" i="12" s="1"/>
  <c r="Y31" i="4"/>
  <c r="E33" i="12" s="1"/>
  <c r="Y32" i="4"/>
  <c r="E34" i="12" s="1"/>
  <c r="Y33" i="4"/>
  <c r="E35" i="12" s="1"/>
  <c r="Y34" i="4"/>
  <c r="E36" i="12" s="1"/>
  <c r="Y35" i="4"/>
  <c r="E37" i="12" s="1"/>
  <c r="Y36" i="4"/>
  <c r="E38" i="12" s="1"/>
  <c r="Y37" i="4"/>
  <c r="E39" i="12" s="1"/>
  <c r="Y38" i="4"/>
  <c r="E40" i="12" s="1"/>
  <c r="Y39" i="4"/>
  <c r="E41" i="12" s="1"/>
  <c r="Y40" i="4"/>
  <c r="E42" i="12" s="1"/>
  <c r="Y41" i="4"/>
  <c r="E43" i="12" s="1"/>
  <c r="Y42" i="4"/>
  <c r="E44" i="12" s="1"/>
  <c r="Y43" i="4"/>
  <c r="E45" i="12" s="1"/>
  <c r="E13" i="12" l="1"/>
  <c r="A7" i="11"/>
  <c r="A8" i="11"/>
  <c r="A9" i="11"/>
  <c r="A10" i="11"/>
  <c r="A11" i="11"/>
  <c r="A12" i="11"/>
  <c r="A13" i="11"/>
  <c r="A14" i="11"/>
  <c r="A15" i="11"/>
  <c r="A16" i="11"/>
  <c r="A17" i="11"/>
  <c r="A18" i="11"/>
  <c r="A19" i="11"/>
  <c r="A20" i="11"/>
  <c r="A21" i="11"/>
  <c r="A22" i="11"/>
  <c r="A23" i="11"/>
  <c r="A24" i="11"/>
  <c r="A25" i="11"/>
  <c r="A26" i="11"/>
  <c r="A27" i="11"/>
  <c r="A28" i="11"/>
  <c r="A29" i="11"/>
  <c r="A30" i="11"/>
  <c r="A31" i="11"/>
  <c r="A32" i="11"/>
  <c r="A33" i="11"/>
  <c r="A34" i="11"/>
  <c r="A35" i="11"/>
  <c r="A36" i="11"/>
  <c r="A37" i="11"/>
  <c r="A38" i="11"/>
  <c r="A39" i="11"/>
  <c r="A40" i="11"/>
  <c r="A41" i="11"/>
  <c r="A42" i="11"/>
  <c r="A43" i="11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V5" i="4" l="1"/>
  <c r="V6" i="4"/>
  <c r="V7" i="4"/>
  <c r="V8" i="4"/>
  <c r="V9" i="4"/>
  <c r="V10" i="4"/>
  <c r="V11" i="4"/>
  <c r="V12" i="4"/>
  <c r="V13" i="4"/>
  <c r="V14" i="4"/>
  <c r="V15" i="4"/>
  <c r="V16" i="4"/>
  <c r="V17" i="4"/>
  <c r="V18" i="4"/>
  <c r="V19" i="4"/>
  <c r="V20" i="4"/>
  <c r="V21" i="4"/>
  <c r="V22" i="4"/>
  <c r="V23" i="4"/>
  <c r="V24" i="4"/>
  <c r="V25" i="4"/>
  <c r="V26" i="4"/>
  <c r="V27" i="4"/>
  <c r="V28" i="4"/>
  <c r="V29" i="4"/>
  <c r="V30" i="4"/>
  <c r="V31" i="4"/>
  <c r="V32" i="4"/>
  <c r="V33" i="4"/>
  <c r="V34" i="4"/>
  <c r="V35" i="4"/>
  <c r="V36" i="4"/>
  <c r="V37" i="4"/>
  <c r="V38" i="4"/>
  <c r="V39" i="4"/>
  <c r="V40" i="4"/>
  <c r="V41" i="4"/>
  <c r="V42" i="4"/>
  <c r="V43" i="4"/>
  <c r="V4" i="4"/>
  <c r="O56" i="1" l="1"/>
  <c r="M46" i="1"/>
  <c r="B33" i="1"/>
  <c r="B32" i="1"/>
  <c r="B31" i="1"/>
  <c r="M9" i="1"/>
  <c r="C43" i="11"/>
  <c r="B43" i="11"/>
  <c r="C42" i="11"/>
  <c r="B42" i="11"/>
  <c r="C41" i="11"/>
  <c r="B41" i="11"/>
  <c r="C40" i="11"/>
  <c r="B40" i="11"/>
  <c r="C39" i="11"/>
  <c r="B39" i="11"/>
  <c r="C38" i="11"/>
  <c r="B38" i="11"/>
  <c r="C37" i="11"/>
  <c r="B37" i="11"/>
  <c r="C36" i="11"/>
  <c r="B36" i="11"/>
  <c r="C35" i="11"/>
  <c r="B35" i="11"/>
  <c r="C34" i="11"/>
  <c r="B34" i="11"/>
  <c r="C33" i="11"/>
  <c r="B33" i="11"/>
  <c r="C32" i="11"/>
  <c r="B32" i="11"/>
  <c r="C31" i="11"/>
  <c r="B31" i="11"/>
  <c r="C30" i="11"/>
  <c r="B30" i="11"/>
  <c r="C29" i="11"/>
  <c r="B29" i="11"/>
  <c r="C28" i="11"/>
  <c r="B28" i="11"/>
  <c r="C27" i="11"/>
  <c r="B27" i="11"/>
  <c r="C26" i="11"/>
  <c r="B26" i="11"/>
  <c r="C25" i="11"/>
  <c r="B25" i="11"/>
  <c r="C24" i="11"/>
  <c r="B24" i="11"/>
  <c r="C23" i="11"/>
  <c r="B23" i="11"/>
  <c r="C22" i="11"/>
  <c r="B22" i="11"/>
  <c r="C21" i="11"/>
  <c r="B21" i="11"/>
  <c r="C20" i="11"/>
  <c r="B20" i="11"/>
  <c r="C19" i="11"/>
  <c r="B19" i="11"/>
  <c r="C18" i="11"/>
  <c r="B18" i="11"/>
  <c r="C17" i="11"/>
  <c r="B17" i="11"/>
  <c r="C16" i="11"/>
  <c r="B16" i="11"/>
  <c r="C15" i="11"/>
  <c r="B15" i="11"/>
  <c r="C14" i="11"/>
  <c r="B14" i="11"/>
  <c r="C13" i="11"/>
  <c r="B13" i="11"/>
  <c r="C12" i="11"/>
  <c r="B12" i="11"/>
  <c r="C11" i="11"/>
  <c r="B11" i="11"/>
  <c r="C10" i="11"/>
  <c r="B10" i="11"/>
  <c r="C9" i="11"/>
  <c r="B9" i="11"/>
  <c r="C8" i="11"/>
  <c r="B8" i="11"/>
  <c r="C7" i="11"/>
  <c r="B7" i="11"/>
  <c r="C6" i="11"/>
  <c r="B6" i="11"/>
  <c r="A6" i="11"/>
  <c r="C5" i="11"/>
  <c r="B5" i="11"/>
  <c r="A5" i="11"/>
  <c r="C4" i="11"/>
  <c r="B4" i="11"/>
  <c r="A4" i="11"/>
  <c r="U43" i="4"/>
  <c r="X43" i="4" s="1"/>
  <c r="C43" i="4"/>
  <c r="B43" i="4"/>
  <c r="U42" i="4"/>
  <c r="X42" i="4" s="1"/>
  <c r="D44" i="12" s="1"/>
  <c r="C42" i="4"/>
  <c r="B42" i="4"/>
  <c r="U41" i="4"/>
  <c r="X41" i="4" s="1"/>
  <c r="D43" i="12" s="1"/>
  <c r="C41" i="4"/>
  <c r="B41" i="4"/>
  <c r="U40" i="4"/>
  <c r="X40" i="4" s="1"/>
  <c r="C40" i="4"/>
  <c r="B40" i="4"/>
  <c r="U39" i="4"/>
  <c r="X39" i="4" s="1"/>
  <c r="C39" i="4"/>
  <c r="B39" i="4"/>
  <c r="U38" i="4"/>
  <c r="X38" i="4" s="1"/>
  <c r="D40" i="12" s="1"/>
  <c r="C38" i="4"/>
  <c r="B38" i="4"/>
  <c r="U37" i="4"/>
  <c r="X37" i="4" s="1"/>
  <c r="D39" i="12" s="1"/>
  <c r="C37" i="4"/>
  <c r="B37" i="4"/>
  <c r="U36" i="4"/>
  <c r="X36" i="4" s="1"/>
  <c r="C36" i="4"/>
  <c r="B36" i="4"/>
  <c r="U35" i="4"/>
  <c r="X35" i="4" s="1"/>
  <c r="D37" i="12" s="1"/>
  <c r="C35" i="4"/>
  <c r="B35" i="4"/>
  <c r="U34" i="4"/>
  <c r="X34" i="4" s="1"/>
  <c r="D36" i="12" s="1"/>
  <c r="C34" i="4"/>
  <c r="B34" i="4"/>
  <c r="U33" i="4"/>
  <c r="X33" i="4" s="1"/>
  <c r="D35" i="12" s="1"/>
  <c r="C33" i="4"/>
  <c r="B33" i="4"/>
  <c r="U32" i="4"/>
  <c r="X32" i="4" s="1"/>
  <c r="D34" i="12" s="1"/>
  <c r="C32" i="4"/>
  <c r="B32" i="4"/>
  <c r="U31" i="4"/>
  <c r="X31" i="4" s="1"/>
  <c r="C31" i="4"/>
  <c r="B31" i="4"/>
  <c r="U30" i="4"/>
  <c r="X30" i="4" s="1"/>
  <c r="D32" i="12" s="1"/>
  <c r="C30" i="4"/>
  <c r="B30" i="4"/>
  <c r="U29" i="4"/>
  <c r="X29" i="4" s="1"/>
  <c r="D31" i="12" s="1"/>
  <c r="C29" i="4"/>
  <c r="B29" i="4"/>
  <c r="U28" i="4"/>
  <c r="X28" i="4" s="1"/>
  <c r="C28" i="4"/>
  <c r="B28" i="4"/>
  <c r="U27" i="4"/>
  <c r="X27" i="4" s="1"/>
  <c r="D7" i="12" s="1"/>
  <c r="C27" i="4"/>
  <c r="B27" i="4"/>
  <c r="U26" i="4"/>
  <c r="X26" i="4" s="1"/>
  <c r="D23" i="12" s="1"/>
  <c r="C26" i="4"/>
  <c r="B26" i="4"/>
  <c r="U25" i="4"/>
  <c r="X25" i="4" s="1"/>
  <c r="D9" i="12" s="1"/>
  <c r="C25" i="4"/>
  <c r="B25" i="4"/>
  <c r="U24" i="4"/>
  <c r="X24" i="4" s="1"/>
  <c r="D24" i="12" s="1"/>
  <c r="C24" i="4"/>
  <c r="B24" i="4"/>
  <c r="U23" i="4"/>
  <c r="X23" i="4" s="1"/>
  <c r="C23" i="4"/>
  <c r="B23" i="4"/>
  <c r="U22" i="4"/>
  <c r="X22" i="4" s="1"/>
  <c r="D15" i="12" s="1"/>
  <c r="C22" i="4"/>
  <c r="B22" i="4"/>
  <c r="U21" i="4"/>
  <c r="X21" i="4" s="1"/>
  <c r="D12" i="12" s="1"/>
  <c r="C21" i="4"/>
  <c r="B21" i="4"/>
  <c r="U20" i="4"/>
  <c r="X20" i="4" s="1"/>
  <c r="C20" i="4"/>
  <c r="B20" i="4"/>
  <c r="U19" i="4"/>
  <c r="X19" i="4" s="1"/>
  <c r="D11" i="12" s="1"/>
  <c r="C19" i="4"/>
  <c r="B19" i="4"/>
  <c r="U18" i="4"/>
  <c r="X18" i="4" s="1"/>
  <c r="D10" i="12" s="1"/>
  <c r="C18" i="4"/>
  <c r="B18" i="4"/>
  <c r="U17" i="4"/>
  <c r="X17" i="4" s="1"/>
  <c r="D21" i="12" s="1"/>
  <c r="C17" i="4"/>
  <c r="B17" i="4"/>
  <c r="U16" i="4"/>
  <c r="X16" i="4" s="1"/>
  <c r="D18" i="12" s="1"/>
  <c r="C16" i="4"/>
  <c r="B16" i="4"/>
  <c r="U15" i="4"/>
  <c r="X15" i="4" s="1"/>
  <c r="C15" i="4"/>
  <c r="B15" i="4"/>
  <c r="U14" i="4"/>
  <c r="X14" i="4" s="1"/>
  <c r="D8" i="12" s="1"/>
  <c r="C14" i="4"/>
  <c r="B14" i="4"/>
  <c r="U13" i="4"/>
  <c r="X13" i="4" s="1"/>
  <c r="D26" i="12" s="1"/>
  <c r="C13" i="4"/>
  <c r="B13" i="4"/>
  <c r="U12" i="4"/>
  <c r="X12" i="4" s="1"/>
  <c r="C12" i="4"/>
  <c r="B12" i="4"/>
  <c r="U11" i="4"/>
  <c r="X11" i="4" s="1"/>
  <c r="D25" i="12" s="1"/>
  <c r="C11" i="4"/>
  <c r="B11" i="4"/>
  <c r="U10" i="4"/>
  <c r="X10" i="4" s="1"/>
  <c r="D14" i="12" s="1"/>
  <c r="C10" i="4"/>
  <c r="B10" i="4"/>
  <c r="U9" i="4"/>
  <c r="X9" i="4" s="1"/>
  <c r="D20" i="12" s="1"/>
  <c r="C9" i="4"/>
  <c r="B9" i="4"/>
  <c r="U8" i="4"/>
  <c r="X8" i="4" s="1"/>
  <c r="D29" i="12" s="1"/>
  <c r="C8" i="4"/>
  <c r="B8" i="4"/>
  <c r="U7" i="4"/>
  <c r="X7" i="4" s="1"/>
  <c r="C7" i="4"/>
  <c r="B7" i="4"/>
  <c r="U6" i="4"/>
  <c r="X6" i="4" s="1"/>
  <c r="D27" i="12" s="1"/>
  <c r="C6" i="4"/>
  <c r="B6" i="4"/>
  <c r="U5" i="4"/>
  <c r="X5" i="4" s="1"/>
  <c r="C5" i="4"/>
  <c r="B5" i="4"/>
  <c r="A5" i="4"/>
  <c r="U4" i="4"/>
  <c r="B34" i="1" s="1"/>
  <c r="C4" i="4"/>
  <c r="B4" i="4"/>
  <c r="A4" i="4"/>
  <c r="C41" i="3"/>
  <c r="B41" i="3"/>
  <c r="C40" i="3"/>
  <c r="B40" i="3"/>
  <c r="C39" i="3"/>
  <c r="B39" i="3"/>
  <c r="C38" i="3"/>
  <c r="B38" i="3"/>
  <c r="C37" i="3"/>
  <c r="B37" i="3"/>
  <c r="C36" i="3"/>
  <c r="B36" i="3"/>
  <c r="C35" i="3"/>
  <c r="C34" i="3"/>
  <c r="B34" i="3"/>
  <c r="C33" i="3"/>
  <c r="B33" i="3"/>
  <c r="C32" i="3"/>
  <c r="B32" i="3"/>
  <c r="C31" i="3"/>
  <c r="B31" i="3"/>
  <c r="C30" i="3"/>
  <c r="B30" i="3"/>
  <c r="C29" i="3"/>
  <c r="B29" i="3"/>
  <c r="C28" i="3"/>
  <c r="B28" i="3"/>
  <c r="C27" i="3"/>
  <c r="B27" i="3"/>
  <c r="C26" i="3"/>
  <c r="B26" i="3"/>
  <c r="C25" i="3"/>
  <c r="B25" i="3"/>
  <c r="C24" i="3"/>
  <c r="B24" i="3"/>
  <c r="C23" i="3"/>
  <c r="B23" i="3"/>
  <c r="C22" i="3"/>
  <c r="B22" i="3"/>
  <c r="C21" i="3"/>
  <c r="B21" i="3"/>
  <c r="C20" i="3"/>
  <c r="B20" i="3"/>
  <c r="C19" i="3"/>
  <c r="B19" i="3"/>
  <c r="C18" i="3"/>
  <c r="B18" i="3"/>
  <c r="C17" i="3"/>
  <c r="B17" i="3"/>
  <c r="C16" i="3"/>
  <c r="B16" i="3"/>
  <c r="C15" i="3"/>
  <c r="B15" i="3"/>
  <c r="C14" i="3"/>
  <c r="B14" i="3"/>
  <c r="C13" i="3"/>
  <c r="B13" i="3"/>
  <c r="C12" i="3"/>
  <c r="B12" i="3"/>
  <c r="C11" i="3"/>
  <c r="B11" i="3"/>
  <c r="C10" i="3"/>
  <c r="B10" i="3"/>
  <c r="C9" i="3"/>
  <c r="B9" i="3"/>
  <c r="C8" i="3"/>
  <c r="B8" i="3"/>
  <c r="C7" i="3"/>
  <c r="B7" i="3"/>
  <c r="C6" i="3"/>
  <c r="B6" i="3"/>
  <c r="C5" i="3"/>
  <c r="B5" i="3"/>
  <c r="C4" i="3"/>
  <c r="B4" i="3"/>
  <c r="C3" i="3"/>
  <c r="B3" i="3"/>
  <c r="C2" i="3"/>
  <c r="B2" i="3"/>
  <c r="A2" i="3"/>
  <c r="B7" i="8"/>
  <c r="K3" i="1" s="1"/>
  <c r="B4" i="8"/>
  <c r="M3" i="1" s="1"/>
  <c r="B1" i="1" l="1"/>
  <c r="N43" i="1"/>
  <c r="M43" i="1" s="1"/>
  <c r="N42" i="1"/>
  <c r="M42" i="1" s="1"/>
  <c r="N41" i="1"/>
  <c r="M41" i="1" s="1"/>
  <c r="C26" i="1"/>
  <c r="B26" i="1" s="1"/>
  <c r="C24" i="1"/>
  <c r="B24" i="1" s="1"/>
  <c r="C23" i="1"/>
  <c r="B23" i="1" s="1"/>
  <c r="C27" i="1"/>
  <c r="B27" i="1" s="1"/>
  <c r="C25" i="1"/>
  <c r="B25" i="1" s="1"/>
  <c r="C28" i="1"/>
  <c r="B28" i="1" s="1"/>
  <c r="D43" i="1"/>
  <c r="G28" i="12"/>
  <c r="D28" i="12"/>
  <c r="G42" i="12"/>
  <c r="D42" i="12"/>
  <c r="G45" i="12"/>
  <c r="D45" i="12"/>
  <c r="G17" i="12"/>
  <c r="D17" i="12"/>
  <c r="G16" i="12"/>
  <c r="D16" i="12"/>
  <c r="G30" i="12"/>
  <c r="D30" i="12"/>
  <c r="G38" i="12"/>
  <c r="D38" i="12"/>
  <c r="G22" i="12"/>
  <c r="D22" i="12"/>
  <c r="G19" i="12"/>
  <c r="D19" i="12"/>
  <c r="G6" i="12"/>
  <c r="D6" i="12"/>
  <c r="G33" i="12"/>
  <c r="D33" i="12"/>
  <c r="G41" i="12"/>
  <c r="D41" i="12"/>
  <c r="G14" i="12"/>
  <c r="G10" i="12"/>
  <c r="G36" i="12"/>
  <c r="G44" i="12"/>
  <c r="G26" i="12"/>
  <c r="G12" i="12"/>
  <c r="G31" i="12"/>
  <c r="G39" i="12"/>
  <c r="G29" i="12"/>
  <c r="G18" i="12"/>
  <c r="G24" i="12"/>
  <c r="G34" i="12"/>
  <c r="G23" i="12"/>
  <c r="G11" i="12"/>
  <c r="G37" i="12"/>
  <c r="G27" i="12"/>
  <c r="G15" i="12"/>
  <c r="G40" i="12"/>
  <c r="G20" i="12"/>
  <c r="G21" i="12"/>
  <c r="G9" i="12"/>
  <c r="G35" i="12"/>
  <c r="G43" i="12"/>
  <c r="G25" i="12"/>
  <c r="G7" i="12"/>
  <c r="G8" i="12"/>
  <c r="G32" i="12"/>
  <c r="M40" i="1"/>
  <c r="N32" i="1"/>
  <c r="M32" i="1" s="1"/>
  <c r="N24" i="1"/>
  <c r="M24" i="1" s="1"/>
  <c r="N16" i="1"/>
  <c r="M16" i="1" s="1"/>
  <c r="N31" i="1"/>
  <c r="M31" i="1" s="1"/>
  <c r="N23" i="1"/>
  <c r="M23" i="1" s="1"/>
  <c r="N15" i="1"/>
  <c r="M15" i="1" s="1"/>
  <c r="N30" i="1"/>
  <c r="M30" i="1" s="1"/>
  <c r="N14" i="1"/>
  <c r="M14" i="1" s="1"/>
  <c r="N37" i="1"/>
  <c r="M37" i="1" s="1"/>
  <c r="N21" i="1"/>
  <c r="M21" i="1" s="1"/>
  <c r="N28" i="1"/>
  <c r="M28" i="1" s="1"/>
  <c r="N12" i="1"/>
  <c r="M12" i="1" s="1"/>
  <c r="N35" i="1"/>
  <c r="M35" i="1" s="1"/>
  <c r="N19" i="1"/>
  <c r="M19" i="1" s="1"/>
  <c r="N45" i="1"/>
  <c r="M45" i="1" s="1"/>
  <c r="N26" i="1"/>
  <c r="M26" i="1" s="1"/>
  <c r="N44" i="1"/>
  <c r="M44" i="1" s="1"/>
  <c r="N25" i="1"/>
  <c r="M25" i="1" s="1"/>
  <c r="M39" i="1"/>
  <c r="M38" i="1"/>
  <c r="N22" i="1"/>
  <c r="M22" i="1" s="1"/>
  <c r="N29" i="1"/>
  <c r="M29" i="1" s="1"/>
  <c r="N13" i="1"/>
  <c r="M13" i="1" s="1"/>
  <c r="N36" i="1"/>
  <c r="M36" i="1" s="1"/>
  <c r="N20" i="1"/>
  <c r="M20" i="1" s="1"/>
  <c r="N47" i="1"/>
  <c r="M47" i="1" s="1"/>
  <c r="N27" i="1"/>
  <c r="M27" i="1" s="1"/>
  <c r="N11" i="1"/>
  <c r="M11" i="1" s="1"/>
  <c r="N34" i="1"/>
  <c r="M34" i="1" s="1"/>
  <c r="N18" i="1"/>
  <c r="M18" i="1" s="1"/>
  <c r="N10" i="1"/>
  <c r="M10" i="1" s="1"/>
  <c r="N33" i="1"/>
  <c r="M33" i="1" s="1"/>
  <c r="N17" i="1"/>
  <c r="M17" i="1" s="1"/>
  <c r="M48" i="1"/>
  <c r="K41" i="1"/>
  <c r="B38" i="1"/>
  <c r="D41" i="1"/>
  <c r="B41" i="1"/>
  <c r="K38" i="1"/>
  <c r="D38" i="1"/>
  <c r="X4" i="4"/>
  <c r="C19" i="1"/>
  <c r="B19" i="1" s="1"/>
  <c r="C10" i="1"/>
  <c r="C21" i="1"/>
  <c r="B21" i="1" s="1"/>
  <c r="C18" i="1"/>
  <c r="B18" i="1" s="1"/>
  <c r="C15" i="1"/>
  <c r="B15" i="1" s="1"/>
  <c r="C17" i="1"/>
  <c r="B17" i="1" s="1"/>
  <c r="C11" i="1"/>
  <c r="B11" i="1" s="1"/>
  <c r="C14" i="1"/>
  <c r="B14" i="1" s="1"/>
  <c r="C13" i="1"/>
  <c r="B13" i="1" s="1"/>
  <c r="C12" i="1"/>
  <c r="B12" i="1" s="1"/>
  <c r="C20" i="1"/>
  <c r="B20" i="1" s="1"/>
  <c r="N48" i="1"/>
  <c r="B46" i="1"/>
  <c r="O48" i="1"/>
  <c r="K43" i="1" l="1"/>
  <c r="D13" i="12"/>
  <c r="G13" i="12"/>
  <c r="B10" i="1"/>
  <c r="Z5" i="4" a="1"/>
  <c r="Z5" i="4" s="1"/>
  <c r="F28" i="12" s="1"/>
  <c r="Z37" i="4" a="1"/>
  <c r="Z37" i="4" s="1"/>
  <c r="F39" i="12" s="1"/>
  <c r="Z13" i="4" a="1"/>
  <c r="Z13" i="4" s="1"/>
  <c r="F26" i="12" s="1"/>
  <c r="Z35" i="4" a="1"/>
  <c r="Z35" i="4" s="1"/>
  <c r="F37" i="12" s="1"/>
  <c r="Z10" i="4" a="1"/>
  <c r="Z10" i="4" s="1"/>
  <c r="F14" i="12" s="1"/>
  <c r="Z24" i="4" a="1"/>
  <c r="Z24" i="4" s="1"/>
  <c r="F24" i="12" s="1"/>
  <c r="Z36" i="4" a="1"/>
  <c r="Z36" i="4" s="1"/>
  <c r="F38" i="12" s="1"/>
  <c r="Z38" i="4" a="1"/>
  <c r="Z38" i="4" s="1"/>
  <c r="F40" i="12" s="1"/>
  <c r="Z41" i="4" a="1"/>
  <c r="Z41" i="4" s="1"/>
  <c r="F43" i="12" s="1"/>
  <c r="Z9" i="4" a="1"/>
  <c r="Z9" i="4" s="1"/>
  <c r="F20" i="12" s="1"/>
  <c r="Z14" i="4" a="1"/>
  <c r="Z14" i="4" s="1"/>
  <c r="F8" i="12" s="1"/>
  <c r="Z30" i="4" a="1"/>
  <c r="Z30" i="4" s="1"/>
  <c r="F32" i="12" s="1"/>
  <c r="Z27" i="4" a="1"/>
  <c r="Z27" i="4" s="1"/>
  <c r="F7" i="12" s="1"/>
  <c r="Z40" i="4" a="1"/>
  <c r="Z40" i="4" s="1"/>
  <c r="F42" i="12" s="1"/>
  <c r="Z16" i="4" a="1"/>
  <c r="Z16" i="4" s="1"/>
  <c r="F18" i="12" s="1"/>
  <c r="Z8" i="4" a="1"/>
  <c r="Z8" i="4" s="1"/>
  <c r="F29" i="12" s="1"/>
  <c r="Z25" i="4" a="1"/>
  <c r="Z25" i="4" s="1"/>
  <c r="F9" i="12" s="1"/>
  <c r="Z17" i="4" a="1"/>
  <c r="Z17" i="4" s="1"/>
  <c r="F21" i="12" s="1"/>
  <c r="Z20" i="4" a="1"/>
  <c r="Z20" i="4" s="1"/>
  <c r="F16" i="12" s="1"/>
  <c r="Z26" i="4" a="1"/>
  <c r="Z26" i="4" s="1"/>
  <c r="F23" i="12" s="1"/>
  <c r="Z42" i="4" a="1"/>
  <c r="Z42" i="4" s="1"/>
  <c r="F44" i="12" s="1"/>
  <c r="Z6" i="4" a="1"/>
  <c r="Z6" i="4" s="1"/>
  <c r="F27" i="12" s="1"/>
  <c r="Z43" i="4" a="1"/>
  <c r="Z43" i="4" s="1"/>
  <c r="F45" i="12" s="1"/>
  <c r="Z19" i="4" a="1"/>
  <c r="Z19" i="4" s="1"/>
  <c r="F11" i="12" s="1"/>
  <c r="Z33" i="4" a="1"/>
  <c r="Z33" i="4" s="1"/>
  <c r="F35" i="12" s="1"/>
  <c r="Z11" i="4" a="1"/>
  <c r="Z11" i="4" s="1"/>
  <c r="F25" i="12" s="1"/>
  <c r="Z28" i="4" a="1"/>
  <c r="Z28" i="4" s="1"/>
  <c r="F30" i="12" s="1"/>
  <c r="Z31" i="4" a="1"/>
  <c r="Z31" i="4" s="1"/>
  <c r="F33" i="12" s="1"/>
  <c r="Z23" i="4" a="1"/>
  <c r="Z23" i="4" s="1"/>
  <c r="F6" i="12" s="1"/>
  <c r="Z12" i="4" a="1"/>
  <c r="Z12" i="4" s="1"/>
  <c r="F17" i="12" s="1"/>
  <c r="Z21" i="4" a="1"/>
  <c r="Z21" i="4" s="1"/>
  <c r="F12" i="12" s="1"/>
  <c r="Z7" i="4" a="1"/>
  <c r="Z7" i="4" s="1"/>
  <c r="F22" i="12" s="1"/>
  <c r="Z34" i="4" a="1"/>
  <c r="Z34" i="4" s="1"/>
  <c r="F36" i="12" s="1"/>
  <c r="Z39" i="4" a="1"/>
  <c r="Z39" i="4" s="1"/>
  <c r="F41" i="12" s="1"/>
  <c r="Z32" i="4" a="1"/>
  <c r="Z32" i="4" s="1"/>
  <c r="F34" i="12" s="1"/>
  <c r="Z29" i="4" a="1"/>
  <c r="Z29" i="4" s="1"/>
  <c r="F31" i="12" s="1"/>
  <c r="Z15" i="4" a="1"/>
  <c r="Z15" i="4" s="1"/>
  <c r="F19" i="12" s="1"/>
  <c r="Z22" i="4" a="1"/>
  <c r="Z22" i="4" s="1"/>
  <c r="F15" i="12" s="1"/>
  <c r="Z18" i="4" a="1"/>
  <c r="Z18" i="4" s="1"/>
  <c r="F10" i="12" s="1"/>
  <c r="Z4" i="4" a="1"/>
  <c r="Z4" i="4" s="1"/>
  <c r="B43" i="1" l="1"/>
  <c r="F13" i="12"/>
</calcChain>
</file>

<file path=xl/sharedStrings.xml><?xml version="1.0" encoding="utf-8"?>
<sst xmlns="http://schemas.openxmlformats.org/spreadsheetml/2006/main" count="573" uniqueCount="344">
  <si>
    <t>مسـلسـل</t>
  </si>
  <si>
    <t>الدرجة المكتسبة</t>
  </si>
  <si>
    <t>المواد الشفهية</t>
  </si>
  <si>
    <t>المواد التحريرية</t>
  </si>
  <si>
    <t>كتابة</t>
  </si>
  <si>
    <t>رقم</t>
  </si>
  <si>
    <t xml:space="preserve"> النحو</t>
  </si>
  <si>
    <t>التفسير</t>
  </si>
  <si>
    <t xml:space="preserve"> الصرف</t>
  </si>
  <si>
    <t>الحديث</t>
  </si>
  <si>
    <t xml:space="preserve"> المطالعة</t>
  </si>
  <si>
    <t>مصطلح الحديث</t>
  </si>
  <si>
    <t xml:space="preserve"> النصوص الأدبية</t>
  </si>
  <si>
    <t>الفقه</t>
  </si>
  <si>
    <t xml:space="preserve"> المحادثة العربية</t>
  </si>
  <si>
    <t>علم الفرائض</t>
  </si>
  <si>
    <t xml:space="preserve"> حفط القرآن</t>
  </si>
  <si>
    <t>المطالعة</t>
  </si>
  <si>
    <t>النصوص الأدبية</t>
  </si>
  <si>
    <t xml:space="preserve"> الأدعية اليومية</t>
  </si>
  <si>
    <t>البلاغة</t>
  </si>
  <si>
    <t xml:space="preserve"> فتح القريب</t>
  </si>
  <si>
    <t xml:space="preserve"> فتح المعين</t>
  </si>
  <si>
    <t>الإملاء</t>
  </si>
  <si>
    <t xml:space="preserve"> العمريطي</t>
  </si>
  <si>
    <t xml:space="preserve"> الفية ابن مالك</t>
  </si>
  <si>
    <t>التربية والتعليم</t>
  </si>
  <si>
    <t>الجملة</t>
  </si>
  <si>
    <t xml:space="preserve"> التربية العملية</t>
  </si>
  <si>
    <t>روح المعهد</t>
  </si>
  <si>
    <t>الخطابة</t>
  </si>
  <si>
    <t>البيان</t>
  </si>
  <si>
    <t>المواظبة</t>
  </si>
  <si>
    <t>السلوك</t>
  </si>
  <si>
    <t>النظافة</t>
  </si>
  <si>
    <t>أيام الغياب</t>
  </si>
  <si>
    <t> Fisika</t>
  </si>
  <si>
    <t xml:space="preserve">  لآخر</t>
  </si>
  <si>
    <t xml:space="preserve">  لاسـتئذان</t>
  </si>
  <si>
    <t xml:space="preserve">  لمرض</t>
  </si>
  <si>
    <t> Biologi</t>
  </si>
  <si>
    <t>مستوى التفوق</t>
  </si>
  <si>
    <t>التقدير العام</t>
  </si>
  <si>
    <t> Kimia</t>
  </si>
  <si>
    <t> Geografi</t>
  </si>
  <si>
    <t>النقد</t>
  </si>
  <si>
    <t> Sosiologi</t>
  </si>
  <si>
    <t> Ekonomi</t>
  </si>
  <si>
    <t> Sej. Umum</t>
  </si>
  <si>
    <t>تحريرا بسـيرانج في :</t>
  </si>
  <si>
    <t xml:space="preserve">   يعتمد عليه, </t>
  </si>
  <si>
    <t>ولي الأمر</t>
  </si>
  <si>
    <t>ولي الفصل</t>
  </si>
  <si>
    <t xml:space="preserve"> كمبيوتر</t>
  </si>
  <si>
    <t>No Ujian</t>
  </si>
  <si>
    <t>Nama Lengkap</t>
  </si>
  <si>
    <t>اصول الفقه</t>
  </si>
  <si>
    <t>الديانة</t>
  </si>
  <si>
    <t>تاريخ التشريع</t>
  </si>
  <si>
    <t>التاريخ الإسلام</t>
  </si>
  <si>
    <t>التعبير التحريري</t>
  </si>
  <si>
    <t>تمرين اللغة</t>
  </si>
  <si>
    <t>النحو</t>
  </si>
  <si>
    <t>الصرف</t>
  </si>
  <si>
    <t>الخط</t>
  </si>
  <si>
    <t>B. Inggris</t>
  </si>
  <si>
    <t>Conversation</t>
  </si>
  <si>
    <t>B. Indonesia</t>
  </si>
  <si>
    <t>Matematika</t>
  </si>
  <si>
    <t>Fisika</t>
  </si>
  <si>
    <t>Biologi</t>
  </si>
  <si>
    <t>Kimia</t>
  </si>
  <si>
    <t>Geografi</t>
  </si>
  <si>
    <t>Sosiologi</t>
  </si>
  <si>
    <t>Ekonomi</t>
  </si>
  <si>
    <t>PPKN</t>
  </si>
  <si>
    <t>No</t>
  </si>
  <si>
    <t>Sjrh. Indo</t>
  </si>
  <si>
    <t>Jumlah Nilai</t>
  </si>
  <si>
    <t>الانشاء</t>
  </si>
  <si>
    <t>المحادثة العربية</t>
  </si>
  <si>
    <t>اللغة العربية</t>
  </si>
  <si>
    <t>اللغة الانجليزية</t>
  </si>
  <si>
    <t>المواد الفقهية</t>
  </si>
  <si>
    <t>ايام الغيابة</t>
  </si>
  <si>
    <t>حفظ القرآن</t>
  </si>
  <si>
    <t>الأدعيه اليومية</t>
  </si>
  <si>
    <t>Grammar</t>
  </si>
  <si>
    <t>Structure</t>
  </si>
  <si>
    <t>Vocabularies</t>
  </si>
  <si>
    <t>مستوي التفوق</t>
  </si>
  <si>
    <t>Akhlak</t>
  </si>
  <si>
    <t> Sej. Indonesia</t>
  </si>
  <si>
    <t>السلك</t>
  </si>
  <si>
    <t>لاستذان</t>
  </si>
  <si>
    <t>لآخر</t>
  </si>
  <si>
    <t>لمرض</t>
  </si>
  <si>
    <t xml:space="preserve"> </t>
  </si>
  <si>
    <t>HALAMAN</t>
  </si>
  <si>
    <t>Rata-Rata</t>
  </si>
  <si>
    <t xml:space="preserve"> علم التجويد</t>
  </si>
  <si>
    <t xml:space="preserve"> التفسير</t>
  </si>
  <si>
    <t xml:space="preserve"> الحديث</t>
  </si>
  <si>
    <t xml:space="preserve"> مصطلح الحديث</t>
  </si>
  <si>
    <t xml:space="preserve"> الفقه</t>
  </si>
  <si>
    <t xml:space="preserve"> أصول الفقه</t>
  </si>
  <si>
    <t xml:space="preserve"> علم الفرائض</t>
  </si>
  <si>
    <t xml:space="preserve"> الديانة\الأديان</t>
  </si>
  <si>
    <t xml:space="preserve"> تاريخ التشريع الإسلامي</t>
  </si>
  <si>
    <t xml:space="preserve"> تاريخ الإسلام</t>
  </si>
  <si>
    <t xml:space="preserve"> الإنشاء \ التعبير التحريري</t>
  </si>
  <si>
    <t xml:space="preserve"> تمرين اللغة العربية</t>
  </si>
  <si>
    <t xml:space="preserve"> النحو والتطبيق</t>
  </si>
  <si>
    <t xml:space="preserve"> الصرف والتطبيق</t>
  </si>
  <si>
    <t xml:space="preserve"> البلاغة</t>
  </si>
  <si>
    <t xml:space="preserve"> علم المنطق</t>
  </si>
  <si>
    <t xml:space="preserve"> تا. أدب اللغة</t>
  </si>
  <si>
    <t xml:space="preserve"> الإملاء</t>
  </si>
  <si>
    <t xml:space="preserve"> الخط العربي</t>
  </si>
  <si>
    <t xml:space="preserve"> التربية والتعليم</t>
  </si>
  <si>
    <t xml:space="preserve"> روح المعهد</t>
  </si>
  <si>
    <t xml:space="preserve"> الخطابة</t>
  </si>
  <si>
    <t xml:space="preserve"> الإنجليزية</t>
  </si>
  <si>
    <t xml:space="preserve"> الإندونيسية</t>
  </si>
  <si>
    <t xml:space="preserve"> الرياضية</t>
  </si>
  <si>
    <t xml:space="preserve"> الفيزياء</t>
  </si>
  <si>
    <t xml:space="preserve"> البيولوجيا</t>
  </si>
  <si>
    <t xml:space="preserve"> الكيمياء</t>
  </si>
  <si>
    <t xml:space="preserve"> الجغرافيا</t>
  </si>
  <si>
    <t xml:space="preserve"> سوسيولوجيا</t>
  </si>
  <si>
    <t xml:space="preserve"> الإقتصادية</t>
  </si>
  <si>
    <t xml:space="preserve"> التربية الوطنية</t>
  </si>
  <si>
    <t xml:space="preserve"> تاريخ إندونيسيا</t>
  </si>
  <si>
    <t xml:space="preserve"> تاريخ العام</t>
  </si>
  <si>
    <t xml:space="preserve"> PPKN</t>
  </si>
  <si>
    <t xml:space="preserve"> Komputer</t>
  </si>
  <si>
    <t xml:space="preserve"> Bhs. Indonesia</t>
  </si>
  <si>
    <t xml:space="preserve"> Matematika</t>
  </si>
  <si>
    <t xml:space="preserve"> Bhs. Inggris</t>
  </si>
  <si>
    <t xml:space="preserve"> المواد الفقهية</t>
  </si>
  <si>
    <t xml:space="preserve"> كتب التراث</t>
  </si>
  <si>
    <t xml:space="preserve">   اللغة العربية</t>
  </si>
  <si>
    <t xml:space="preserve"> اللغة الإنجليزية</t>
  </si>
  <si>
    <t xml:space="preserve"> الإنشاء \ التعبير الشفهي</t>
  </si>
  <si>
    <t>Nilai Rata2</t>
  </si>
  <si>
    <t>NAMA WALI KELAS</t>
  </si>
  <si>
    <t>KELAS</t>
  </si>
  <si>
    <t>SEMESTER</t>
  </si>
  <si>
    <t>TAHUN PELAJARAN</t>
  </si>
  <si>
    <t>TANGGAL HIJRIYAH</t>
  </si>
  <si>
    <t>TANGGAL MILADIYAH</t>
  </si>
  <si>
    <t>Awal</t>
  </si>
  <si>
    <t>Akhir</t>
  </si>
  <si>
    <t xml:space="preserve">الصف </t>
  </si>
  <si>
    <t>:</t>
  </si>
  <si>
    <t>العام الدراسي</t>
  </si>
  <si>
    <t>تحريرا بسـيرانج في</t>
  </si>
  <si>
    <t>( Tahun Pelajaran )</t>
  </si>
  <si>
    <t>( Kelas )</t>
  </si>
  <si>
    <t>( Tanggal Rapot )</t>
  </si>
  <si>
    <t xml:space="preserve">مدير المدرسة   </t>
  </si>
  <si>
    <t xml:space="preserve"> مدير المدرسة   </t>
  </si>
  <si>
    <t xml:space="preserve"> ولي الفصل</t>
  </si>
  <si>
    <t>( Nama Kepala Sekolah )</t>
  </si>
  <si>
    <t>( Nama Wali Kelas )</t>
  </si>
  <si>
    <t>الفصل الدراسي</t>
  </si>
  <si>
    <t>( Semester )</t>
  </si>
  <si>
    <t>Nama</t>
  </si>
  <si>
    <t>No Exam</t>
  </si>
  <si>
    <t>Keterangan</t>
  </si>
  <si>
    <t>Nilai Rata-Rata</t>
  </si>
  <si>
    <t>Peringkat</t>
  </si>
  <si>
    <t>REKAP NILAI UJIAN</t>
  </si>
  <si>
    <t>IDENTITAS RAPOT</t>
  </si>
  <si>
    <t>Nilai Keseluruhan</t>
  </si>
  <si>
    <t>Biodata</t>
  </si>
  <si>
    <t>Nilai Ujian Syafahi</t>
  </si>
  <si>
    <t>Catatan Wali Kelas Untuk Siswa</t>
  </si>
  <si>
    <t>الملاحظة</t>
  </si>
  <si>
    <t>Grammer</t>
  </si>
  <si>
    <t xml:space="preserve"> قراءة القرآن</t>
  </si>
  <si>
    <t xml:space="preserve"> الملاحظة</t>
  </si>
  <si>
    <t xml:space="preserve"> اثنين</t>
  </si>
  <si>
    <t xml:space="preserve"> اثنين و واحد</t>
  </si>
  <si>
    <t xml:space="preserve"> اثنين و اثنين</t>
  </si>
  <si>
    <t xml:space="preserve"> اثنين و ثلاث</t>
  </si>
  <si>
    <t xml:space="preserve"> اثنين و اربع</t>
  </si>
  <si>
    <t xml:space="preserve"> اثنين و نصف</t>
  </si>
  <si>
    <t xml:space="preserve"> اثنين و ست</t>
  </si>
  <si>
    <t xml:space="preserve"> اثنين و سبع</t>
  </si>
  <si>
    <t xml:space="preserve"> اثنين و ثمان</t>
  </si>
  <si>
    <t xml:space="preserve"> اثنين و تسع</t>
  </si>
  <si>
    <t xml:space="preserve"> ثلاث</t>
  </si>
  <si>
    <t xml:space="preserve"> ثلاث و واحد</t>
  </si>
  <si>
    <t xml:space="preserve"> ثلاث و اثنين</t>
  </si>
  <si>
    <t xml:space="preserve"> ثلاث و ثلاث</t>
  </si>
  <si>
    <t xml:space="preserve"> ثلاث و اربع</t>
  </si>
  <si>
    <t xml:space="preserve"> ثلاث و نصف</t>
  </si>
  <si>
    <t xml:space="preserve"> ثلاث و ست</t>
  </si>
  <si>
    <t xml:space="preserve"> ثلاث و سبع</t>
  </si>
  <si>
    <t xml:space="preserve"> ثلاث و ثمان</t>
  </si>
  <si>
    <t xml:space="preserve"> ثلاث و تسع</t>
  </si>
  <si>
    <t xml:space="preserve"> اربع</t>
  </si>
  <si>
    <t xml:space="preserve"> اربع و واحد</t>
  </si>
  <si>
    <t xml:space="preserve"> اربع و اثنين</t>
  </si>
  <si>
    <t xml:space="preserve"> اربع و ثلاث</t>
  </si>
  <si>
    <t xml:space="preserve"> اربع و اربع</t>
  </si>
  <si>
    <t xml:space="preserve"> اربع و نصف</t>
  </si>
  <si>
    <t xml:space="preserve"> اربع و ست</t>
  </si>
  <si>
    <t xml:space="preserve"> اربع و سبع</t>
  </si>
  <si>
    <t xml:space="preserve"> اربع و ثمان</t>
  </si>
  <si>
    <t xml:space="preserve"> اربع و تسع</t>
  </si>
  <si>
    <t xml:space="preserve"> خمس</t>
  </si>
  <si>
    <t xml:space="preserve"> خمس و واحد</t>
  </si>
  <si>
    <t xml:space="preserve"> خمس و اثنين</t>
  </si>
  <si>
    <t xml:space="preserve"> خمس و ثلاث</t>
  </si>
  <si>
    <t xml:space="preserve"> خمس و اربع</t>
  </si>
  <si>
    <t xml:space="preserve"> خمس و نصف</t>
  </si>
  <si>
    <t xml:space="preserve"> خمس و ست</t>
  </si>
  <si>
    <t xml:space="preserve"> خمس و سبع</t>
  </si>
  <si>
    <t xml:space="preserve"> خمس و ثمان</t>
  </si>
  <si>
    <t xml:space="preserve"> خمس و تسع</t>
  </si>
  <si>
    <t xml:space="preserve"> ستّ</t>
  </si>
  <si>
    <t xml:space="preserve"> ست و واحد</t>
  </si>
  <si>
    <t xml:space="preserve"> ست و اثنين</t>
  </si>
  <si>
    <t xml:space="preserve"> ست و ثلاث</t>
  </si>
  <si>
    <t xml:space="preserve"> ست و اربع</t>
  </si>
  <si>
    <t xml:space="preserve"> ست و نصف</t>
  </si>
  <si>
    <t xml:space="preserve"> ست و ست</t>
  </si>
  <si>
    <t xml:space="preserve"> ست و سبع</t>
  </si>
  <si>
    <t xml:space="preserve"> ست و ثمان</t>
  </si>
  <si>
    <t xml:space="preserve"> ست و تسع</t>
  </si>
  <si>
    <t xml:space="preserve"> سبع</t>
  </si>
  <si>
    <t xml:space="preserve"> سبع و واحد</t>
  </si>
  <si>
    <t xml:space="preserve"> سبع و اثنين</t>
  </si>
  <si>
    <t xml:space="preserve"> سبع و ثلاث</t>
  </si>
  <si>
    <t xml:space="preserve"> سبع و اربع</t>
  </si>
  <si>
    <t xml:space="preserve"> سبع و نصف</t>
  </si>
  <si>
    <t xml:space="preserve"> سبع و ست</t>
  </si>
  <si>
    <t xml:space="preserve"> سبع و سبع</t>
  </si>
  <si>
    <t xml:space="preserve"> سبع و ثمان</t>
  </si>
  <si>
    <t xml:space="preserve"> سبع و تسع</t>
  </si>
  <si>
    <t xml:space="preserve"> ثمان</t>
  </si>
  <si>
    <t xml:space="preserve"> ثمان و واحد</t>
  </si>
  <si>
    <t xml:space="preserve"> ثمان و اثنين</t>
  </si>
  <si>
    <t xml:space="preserve"> ثمان و ثلاث</t>
  </si>
  <si>
    <t xml:space="preserve"> ثمان و اربع</t>
  </si>
  <si>
    <t xml:space="preserve"> ثمان و نصف</t>
  </si>
  <si>
    <t xml:space="preserve"> ثمان و ست</t>
  </si>
  <si>
    <t xml:space="preserve"> ثمان و سبع</t>
  </si>
  <si>
    <t xml:space="preserve"> ثمان و ثمان</t>
  </si>
  <si>
    <t xml:space="preserve"> ثمان و تسع</t>
  </si>
  <si>
    <t xml:space="preserve"> تسع</t>
  </si>
  <si>
    <t xml:space="preserve"> تسع و واحد</t>
  </si>
  <si>
    <t xml:space="preserve"> تسع و اثنين</t>
  </si>
  <si>
    <t xml:space="preserve"> تسع و ثلاث</t>
  </si>
  <si>
    <t xml:space="preserve"> تسع و اربع</t>
  </si>
  <si>
    <t xml:space="preserve"> تسع و نصف</t>
  </si>
  <si>
    <t xml:space="preserve"> تسع و ست</t>
  </si>
  <si>
    <t xml:space="preserve"> تسع و سبع</t>
  </si>
  <si>
    <t xml:space="preserve"> تسع و ثمان</t>
  </si>
  <si>
    <t xml:space="preserve"> تسع و تسع</t>
  </si>
  <si>
    <t xml:space="preserve"> عشر</t>
  </si>
  <si>
    <t>Reading</t>
  </si>
  <si>
    <t>الدرجة الكبرى ٨, الدرجة الصغرى ٤</t>
  </si>
  <si>
    <t xml:space="preserve"> واحد</t>
  </si>
  <si>
    <t xml:space="preserve"> واحد و واحد</t>
  </si>
  <si>
    <t xml:space="preserve"> واحد و ثلاث</t>
  </si>
  <si>
    <t xml:space="preserve"> واحد و اربع</t>
  </si>
  <si>
    <t xml:space="preserve"> واحد و نصف</t>
  </si>
  <si>
    <t xml:space="preserve"> واحد و ست</t>
  </si>
  <si>
    <t xml:space="preserve"> واحد و سبع</t>
  </si>
  <si>
    <t xml:space="preserve"> واحد و ثمان</t>
  </si>
  <si>
    <t xml:space="preserve"> واحد و تسع</t>
  </si>
  <si>
    <t xml:space="preserve"> واحد و اثنين</t>
  </si>
  <si>
    <t>-</t>
  </si>
  <si>
    <t>Komputer</t>
  </si>
  <si>
    <t>علم المنطق</t>
  </si>
  <si>
    <t>تا. ادب اللغة</t>
  </si>
  <si>
    <t>التربية والعماية</t>
  </si>
  <si>
    <t>آيات الأحكام</t>
  </si>
  <si>
    <t xml:space="preserve"> آيات الأحكام</t>
  </si>
  <si>
    <t>الجملة العام</t>
  </si>
  <si>
    <t>الأول</t>
  </si>
  <si>
    <t xml:space="preserve"> اصول الفقه</t>
  </si>
  <si>
    <t>٢٠٢٤ - ٢٠٢٥</t>
  </si>
  <si>
    <t>١٤٤٥ - ١٤٤٦</t>
  </si>
  <si>
    <t>١٩ من جمادى الآخر سنة ١٤٤٦ ه</t>
  </si>
  <si>
    <t>٢٠ من ديسمبر سنة ٢٠٢٤ م</t>
  </si>
  <si>
    <t>الإسم :</t>
  </si>
  <si>
    <t>Nama Arab</t>
  </si>
  <si>
    <t>السادس د للبنين</t>
  </si>
  <si>
    <t/>
  </si>
  <si>
    <t>ABDUL ALLAN DARMA SAPUTRA</t>
  </si>
  <si>
    <t>0579</t>
  </si>
  <si>
    <t>ABDUL FATTAH</t>
  </si>
  <si>
    <t>0580</t>
  </si>
  <si>
    <t>AHMAD FAJAR MUNAWWAR KHOLILY</t>
  </si>
  <si>
    <t>0581</t>
  </si>
  <si>
    <t>AJUN</t>
  </si>
  <si>
    <t>0582</t>
  </si>
  <si>
    <t>DIMAS NURPUTRAWAN</t>
  </si>
  <si>
    <t>0583</t>
  </si>
  <si>
    <t>FARES CHAIDAR HAMZAN</t>
  </si>
  <si>
    <t>0584</t>
  </si>
  <si>
    <t>FAUZAN IQBAL MAULANA</t>
  </si>
  <si>
    <t>0585</t>
  </si>
  <si>
    <t>HAFIEZD ARYANSYAH RAMADAN</t>
  </si>
  <si>
    <t>0586</t>
  </si>
  <si>
    <t>HILDAN FAUZI</t>
  </si>
  <si>
    <t>0587</t>
  </si>
  <si>
    <t>JEFRI FAJAR ALFIAN</t>
  </si>
  <si>
    <t>0588</t>
  </si>
  <si>
    <t>M. FAREL FAUZA ADITYA</t>
  </si>
  <si>
    <t>0589</t>
  </si>
  <si>
    <t>MUHAMAD RAIFAN SIDIQ</t>
  </si>
  <si>
    <t>0590</t>
  </si>
  <si>
    <t>MUHAMAD RIZKI</t>
  </si>
  <si>
    <t>0591</t>
  </si>
  <si>
    <t>MUHAMAD SYAHRUL BUDIMAN</t>
  </si>
  <si>
    <t>0592</t>
  </si>
  <si>
    <t>MUHAMAD WILDAN WIBISONO</t>
  </si>
  <si>
    <t>0593</t>
  </si>
  <si>
    <t>MUHAMMAD AGIL LAHAM</t>
  </si>
  <si>
    <t>0594</t>
  </si>
  <si>
    <t>MUHAMMAD ASSRORI</t>
  </si>
  <si>
    <t>0595</t>
  </si>
  <si>
    <t>MUHAMMAD RIFKI ADI NUGROHO</t>
  </si>
  <si>
    <t>0596</t>
  </si>
  <si>
    <t>MUHAMMAD SULAMUT TAUFIQ</t>
  </si>
  <si>
    <t>0597</t>
  </si>
  <si>
    <t>MUHAMMAD VIKRI ABDILLAH</t>
  </si>
  <si>
    <t>0598</t>
  </si>
  <si>
    <t>NOVAL DZAKI</t>
  </si>
  <si>
    <t>0599</t>
  </si>
  <si>
    <t>NURHIDAYAT</t>
  </si>
  <si>
    <t>0600</t>
  </si>
  <si>
    <t>RAYHAN HIKMAT CHANDRA</t>
  </si>
  <si>
    <t>0601</t>
  </si>
  <si>
    <t>ZAKWAN ADIB</t>
  </si>
  <si>
    <t>0602</t>
  </si>
  <si>
    <t>الأســـــــتاذ فــوزي فـــــــردوس</t>
  </si>
  <si>
    <t>كياهى الحاج شهاب المعي الماجستير</t>
  </si>
  <si>
    <t>ماالعلم إلاّ للعمل به  والعمل به ترك العاجل الآجل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</si>
</sst>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2000401]0"/>
    <numFmt numFmtId="165" formatCode="[$-2000401]0.0"/>
    <numFmt numFmtId="166" formatCode="[$-2000000]0"/>
    <numFmt numFmtId="167" formatCode="0.0"/>
    <numFmt numFmtId="168" formatCode="[$-2000401]0.00"/>
  </numFmts>
  <fonts count="41" x14ac:knownFonts="1">
    <font>
      <sz val="11"/>
      <color theme="1"/>
      <name val="Calibri"/>
      <family val="2"/>
      <charset val="178"/>
      <scheme val="minor"/>
    </font>
    <font>
      <sz val="11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Calibri"/>
      <family val="2"/>
      <charset val="178"/>
      <scheme val="minor"/>
    </font>
    <font>
      <b/>
      <u/>
      <sz val="14"/>
      <color theme="1"/>
      <name val="Traditional Arabic"/>
      <family val="1"/>
    </font>
    <font>
      <b/>
      <sz val="11"/>
      <color theme="1"/>
      <name val="Calibri Light"/>
      <family val="1"/>
      <scheme val="major"/>
    </font>
    <font>
      <sz val="11"/>
      <color rgb="FF000000"/>
      <name val="Calibri Light"/>
      <family val="1"/>
      <scheme val="major"/>
    </font>
    <font>
      <b/>
      <sz val="14"/>
      <color theme="1"/>
      <name val="Traditional Arabic"/>
      <family val="1"/>
    </font>
    <font>
      <sz val="14"/>
      <color rgb="FF000000"/>
      <name val="Traditional Arabic"/>
      <family val="1"/>
    </font>
    <font>
      <b/>
      <sz val="14"/>
      <color rgb="FF000000"/>
      <name val="Traditional Arabic"/>
      <family val="1"/>
    </font>
    <font>
      <sz val="14"/>
      <color theme="1"/>
      <name val="Traditional Arabic"/>
      <family val="1"/>
    </font>
    <font>
      <sz val="8"/>
      <color rgb="FF000000"/>
      <name val="Calibri Light"/>
      <family val="1"/>
      <scheme val="major"/>
    </font>
    <font>
      <sz val="11"/>
      <color theme="1"/>
      <name val="Calibri Light"/>
      <family val="1"/>
      <scheme val="major"/>
    </font>
    <font>
      <b/>
      <sz val="8"/>
      <color theme="1"/>
      <name val="Calibri Light"/>
      <family val="1"/>
      <scheme val="major"/>
    </font>
    <font>
      <sz val="13"/>
      <color rgb="FF000000"/>
      <name val="Traditional Arabic"/>
      <family val="1"/>
    </font>
    <font>
      <sz val="9"/>
      <color theme="1"/>
      <name val="Calibri"/>
      <family val="2"/>
      <charset val="178"/>
      <scheme val="minor"/>
    </font>
    <font>
      <sz val="14"/>
      <color theme="1"/>
      <name val="Calibri"/>
      <family val="2"/>
      <charset val="178"/>
      <scheme val="minor"/>
    </font>
    <font>
      <sz val="16"/>
      <color theme="1"/>
      <name val="Calibri"/>
      <family val="2"/>
      <charset val="178"/>
      <scheme val="minor"/>
    </font>
    <font>
      <b/>
      <sz val="10"/>
      <color theme="1"/>
      <name val="Calibri Light"/>
      <family val="2"/>
      <scheme val="major"/>
    </font>
    <font>
      <sz val="11"/>
      <color theme="1"/>
      <name val="Cambria"/>
      <family val="1"/>
    </font>
    <font>
      <sz val="11"/>
      <color rgb="FF000000"/>
      <name val="Cambria"/>
      <family val="1"/>
    </font>
    <font>
      <b/>
      <sz val="14"/>
      <color theme="1"/>
      <name val="Cambria"/>
      <family val="1"/>
    </font>
    <font>
      <b/>
      <sz val="12"/>
      <color theme="1"/>
      <name val="Calibri"/>
      <family val="2"/>
      <scheme val="minor"/>
    </font>
    <font>
      <b/>
      <sz val="6"/>
      <color theme="1"/>
      <name val="Cambria"/>
      <family val="1"/>
    </font>
    <font>
      <b/>
      <sz val="11"/>
      <color theme="1"/>
      <name val="Calibri Light"/>
      <family val="2"/>
      <scheme val="major"/>
    </font>
    <font>
      <b/>
      <sz val="12"/>
      <color rgb="FF000000"/>
      <name val="Traditional Arabic"/>
      <family val="1"/>
    </font>
    <font>
      <b/>
      <sz val="20"/>
      <color theme="0"/>
      <name val="Calibri"/>
      <family val="2"/>
      <scheme val="minor"/>
    </font>
    <font>
      <b/>
      <sz val="14"/>
      <color rgb="FF0066CC"/>
      <name val="Cambria"/>
      <family val="1"/>
    </font>
    <font>
      <sz val="11"/>
      <color theme="1"/>
      <name val="Calibri"/>
      <family val="2"/>
      <charset val="178"/>
      <scheme val="minor"/>
    </font>
    <font>
      <b/>
      <u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0"/>
      <name val="Cambria"/>
      <family val="1"/>
    </font>
    <font>
      <b/>
      <sz val="14"/>
      <color theme="0"/>
      <name val="Times New Roman"/>
      <family val="1"/>
    </font>
    <font>
      <sz val="12"/>
      <color theme="1"/>
      <name val="Traditional Arabic"/>
      <family val="1"/>
    </font>
    <font>
      <b/>
      <sz val="12"/>
      <color theme="1"/>
      <name val="Traditional Arabic"/>
      <family val="1"/>
    </font>
    <font>
      <sz val="14"/>
      <color rgb="FF000000"/>
      <name val="Calibri"/>
      <family val="2"/>
    </font>
    <font>
      <sz val="16"/>
      <color theme="1"/>
      <name val="Traditional Arabic"/>
      <family val="1"/>
    </font>
    <font>
      <sz val="14"/>
      <color theme="1"/>
      <name val="Times New Roman"/>
      <family val="1"/>
    </font>
    <font>
      <u/>
      <sz val="12"/>
      <color rgb="FF000000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0000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0" fillId="0" borderId="0"/>
  </cellStyleXfs>
  <cellXfs count="286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/>
    <xf numFmtId="165" fontId="0" fillId="0" borderId="0" xfId="0" applyNumberFormat="1" applyAlignment="1">
      <alignment horizontal="center" vertical="center"/>
    </xf>
    <xf numFmtId="165" fontId="1" fillId="0" borderId="2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1" fillId="0" borderId="2" xfId="0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2" fontId="21" fillId="0" borderId="2" xfId="0" applyNumberFormat="1" applyFont="1" applyBorder="1" applyAlignment="1">
      <alignment horizontal="center" vertical="center"/>
    </xf>
    <xf numFmtId="167" fontId="21" fillId="0" borderId="2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5" borderId="2" xfId="0" applyFont="1" applyFill="1" applyBorder="1" applyAlignment="1" applyProtection="1">
      <alignment horizontal="center" vertical="center" textRotation="90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14" fillId="2" borderId="2" xfId="0" applyFont="1" applyFill="1" applyBorder="1" applyAlignment="1" applyProtection="1">
      <alignment horizontal="center" vertical="center" textRotation="90"/>
      <protection locked="0"/>
    </xf>
    <xf numFmtId="0" fontId="14" fillId="3" borderId="2" xfId="0" applyFont="1" applyFill="1" applyBorder="1" applyAlignment="1" applyProtection="1">
      <alignment horizontal="center" vertical="center" textRotation="90"/>
      <protection locked="0"/>
    </xf>
    <xf numFmtId="0" fontId="14" fillId="4" borderId="2" xfId="0" applyFont="1" applyFill="1" applyBorder="1" applyAlignment="1" applyProtection="1">
      <alignment horizontal="center" vertical="center" textRotation="90"/>
      <protection locked="0"/>
    </xf>
    <xf numFmtId="165" fontId="4" fillId="0" borderId="3" xfId="0" applyNumberFormat="1" applyFont="1" applyBorder="1" applyAlignment="1" applyProtection="1">
      <alignment horizontal="center" vertical="center"/>
      <protection locked="0"/>
    </xf>
    <xf numFmtId="165" fontId="4" fillId="0" borderId="2" xfId="0" applyNumberFormat="1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20" fillId="0" borderId="2" xfId="0" applyFont="1" applyBorder="1" applyAlignment="1" applyProtection="1">
      <alignment horizontal="center" vertical="center" textRotation="90"/>
      <protection locked="0"/>
    </xf>
    <xf numFmtId="164" fontId="4" fillId="0" borderId="2" xfId="0" applyNumberFormat="1" applyFont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vertical="center"/>
      <protection locked="0"/>
    </xf>
    <xf numFmtId="165" fontId="0" fillId="0" borderId="0" xfId="0" applyNumberFormat="1" applyAlignment="1" applyProtection="1">
      <alignment horizontal="center" vertical="center"/>
      <protection locked="0"/>
    </xf>
    <xf numFmtId="165" fontId="1" fillId="0" borderId="0" xfId="0" applyNumberFormat="1" applyFont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164" fontId="1" fillId="0" borderId="0" xfId="0" applyNumberFormat="1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165" fontId="5" fillId="0" borderId="0" xfId="0" applyNumberFormat="1" applyFont="1" applyAlignment="1" applyProtection="1">
      <alignment horizontal="center" vertical="center"/>
      <protection locked="0"/>
    </xf>
    <xf numFmtId="0" fontId="15" fillId="0" borderId="0" xfId="0" applyFont="1" applyAlignment="1">
      <alignment vertical="center" readingOrder="2"/>
    </xf>
    <xf numFmtId="0" fontId="0" fillId="0" borderId="0" xfId="0" applyAlignment="1">
      <alignment vertical="center"/>
    </xf>
    <xf numFmtId="165" fontId="11" fillId="0" borderId="2" xfId="0" applyNumberFormat="1" applyFont="1" applyBorder="1" applyAlignment="1">
      <alignment horizontal="center" vertical="center" readingOrder="2"/>
    </xf>
    <xf numFmtId="0" fontId="10" fillId="0" borderId="10" xfId="0" applyFont="1" applyBorder="1" applyAlignment="1">
      <alignment vertical="center"/>
    </xf>
    <xf numFmtId="0" fontId="12" fillId="0" borderId="10" xfId="0" applyFont="1" applyBorder="1" applyAlignment="1">
      <alignment vertical="center"/>
    </xf>
    <xf numFmtId="0" fontId="10" fillId="0" borderId="28" xfId="0" applyFont="1" applyBorder="1" applyAlignment="1">
      <alignment horizontal="center" vertical="center" readingOrder="2"/>
    </xf>
    <xf numFmtId="164" fontId="10" fillId="0" borderId="13" xfId="0" applyNumberFormat="1" applyFont="1" applyBorder="1" applyAlignment="1">
      <alignment horizontal="center" vertical="center" readingOrder="2"/>
    </xf>
    <xf numFmtId="0" fontId="11" fillId="0" borderId="0" xfId="0" applyFont="1" applyAlignment="1">
      <alignment horizontal="right" vertical="center" readingOrder="2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vertical="center" readingOrder="2"/>
    </xf>
    <xf numFmtId="0" fontId="12" fillId="0" borderId="0" xfId="0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2" fillId="0" borderId="0" xfId="0" applyFont="1" applyAlignment="1">
      <alignment vertical="center" wrapText="1" readingOrder="2"/>
    </xf>
    <xf numFmtId="0" fontId="6" fillId="0" borderId="0" xfId="0" applyFont="1" applyAlignment="1">
      <alignment vertical="center"/>
    </xf>
    <xf numFmtId="164" fontId="0" fillId="0" borderId="0" xfId="0" applyNumberFormat="1" applyProtection="1">
      <protection locked="0"/>
    </xf>
    <xf numFmtId="0" fontId="17" fillId="0" borderId="2" xfId="0" applyFont="1" applyBorder="1" applyAlignment="1">
      <alignment horizontal="right"/>
    </xf>
    <xf numFmtId="0" fontId="19" fillId="0" borderId="2" xfId="0" applyFont="1" applyBorder="1" applyAlignment="1">
      <alignment horizontal="right"/>
    </xf>
    <xf numFmtId="0" fontId="17" fillId="0" borderId="2" xfId="0" applyFont="1" applyBorder="1" applyAlignment="1">
      <alignment horizontal="right" vertical="center"/>
    </xf>
    <xf numFmtId="0" fontId="19" fillId="0" borderId="2" xfId="0" applyFont="1" applyBorder="1" applyAlignment="1">
      <alignment horizontal="right" vertical="center"/>
    </xf>
    <xf numFmtId="0" fontId="26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0" fillId="0" borderId="33" xfId="0" applyFont="1" applyBorder="1" applyAlignment="1">
      <alignment vertical="center"/>
    </xf>
    <xf numFmtId="0" fontId="12" fillId="0" borderId="8" xfId="0" applyFont="1" applyBorder="1" applyAlignment="1">
      <alignment vertical="center"/>
    </xf>
    <xf numFmtId="164" fontId="16" fillId="0" borderId="9" xfId="0" applyNumberFormat="1" applyFont="1" applyBorder="1" applyAlignment="1">
      <alignment horizontal="center" vertical="center"/>
    </xf>
    <xf numFmtId="168" fontId="0" fillId="0" borderId="2" xfId="0" applyNumberFormat="1" applyBorder="1" applyAlignment="1" applyProtection="1">
      <alignment horizontal="center" vertical="center"/>
      <protection locked="0"/>
    </xf>
    <xf numFmtId="0" fontId="10" fillId="0" borderId="27" xfId="0" applyFont="1" applyBorder="1" applyAlignment="1">
      <alignment horizontal="right" vertical="center" readingOrder="2"/>
    </xf>
    <xf numFmtId="0" fontId="11" fillId="0" borderId="8" xfId="0" applyFont="1" applyBorder="1" applyAlignment="1">
      <alignment horizontal="center" vertical="center" readingOrder="2"/>
    </xf>
    <xf numFmtId="165" fontId="16" fillId="0" borderId="2" xfId="0" applyNumberFormat="1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 readingOrder="2"/>
    </xf>
    <xf numFmtId="0" fontId="26" fillId="5" borderId="2" xfId="0" applyFont="1" applyFill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/>
      <protection locked="0"/>
    </xf>
    <xf numFmtId="165" fontId="4" fillId="0" borderId="3" xfId="0" applyNumberFormat="1" applyFont="1" applyBorder="1" applyAlignment="1">
      <alignment horizontal="center" vertical="center"/>
    </xf>
    <xf numFmtId="168" fontId="4" fillId="0" borderId="3" xfId="0" applyNumberFormat="1" applyFont="1" applyBorder="1" applyAlignment="1">
      <alignment horizontal="center" vertical="center"/>
    </xf>
    <xf numFmtId="0" fontId="7" fillId="0" borderId="30" xfId="0" applyFont="1" applyBorder="1"/>
    <xf numFmtId="164" fontId="4" fillId="0" borderId="2" xfId="0" applyNumberFormat="1" applyFont="1" applyBorder="1" applyAlignment="1">
      <alignment horizontal="center" vertical="center"/>
    </xf>
    <xf numFmtId="0" fontId="7" fillId="0" borderId="4" xfId="0" applyFont="1" applyBorder="1"/>
    <xf numFmtId="0" fontId="8" fillId="0" borderId="2" xfId="0" applyFont="1" applyBorder="1" applyAlignment="1">
      <alignment horizontal="left" vertical="center" wrapText="1"/>
    </xf>
    <xf numFmtId="0" fontId="8" fillId="0" borderId="2" xfId="0" applyFont="1" applyBorder="1" applyAlignment="1" applyProtection="1">
      <alignment horizontal="left"/>
      <protection locked="0"/>
    </xf>
    <xf numFmtId="0" fontId="8" fillId="0" borderId="2" xfId="0" applyFont="1" applyBorder="1" applyAlignment="1" applyProtection="1">
      <alignment horizontal="left" vertical="center"/>
      <protection locked="0"/>
    </xf>
    <xf numFmtId="0" fontId="8" fillId="0" borderId="2" xfId="0" applyFont="1" applyBorder="1" applyAlignment="1">
      <alignment horizontal="left"/>
    </xf>
    <xf numFmtId="0" fontId="8" fillId="0" borderId="2" xfId="0" applyFont="1" applyBorder="1" applyAlignment="1">
      <alignment horizontal="left" vertical="center"/>
    </xf>
    <xf numFmtId="0" fontId="11" fillId="0" borderId="19" xfId="0" applyFont="1" applyBorder="1" applyAlignment="1">
      <alignment horizontal="center" vertical="center" readingOrder="2"/>
    </xf>
    <xf numFmtId="0" fontId="10" fillId="0" borderId="5" xfId="0" applyFont="1" applyBorder="1" applyAlignment="1">
      <alignment vertical="center"/>
    </xf>
    <xf numFmtId="0" fontId="12" fillId="0" borderId="0" xfId="0" applyFont="1" applyAlignment="1">
      <alignment vertical="center" wrapText="1"/>
    </xf>
    <xf numFmtId="164" fontId="16" fillId="0" borderId="23" xfId="0" applyNumberFormat="1" applyFont="1" applyBorder="1" applyAlignment="1">
      <alignment horizontal="center" vertical="center"/>
    </xf>
    <xf numFmtId="164" fontId="16" fillId="0" borderId="37" xfId="0" applyNumberFormat="1" applyFont="1" applyBorder="1" applyAlignment="1">
      <alignment horizontal="center" vertical="center"/>
    </xf>
    <xf numFmtId="164" fontId="16" fillId="0" borderId="12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 wrapText="1"/>
    </xf>
    <xf numFmtId="164" fontId="16" fillId="0" borderId="3" xfId="0" applyNumberFormat="1" applyFont="1" applyBorder="1" applyAlignment="1">
      <alignment horizontal="center" vertical="center"/>
    </xf>
    <xf numFmtId="164" fontId="16" fillId="0" borderId="3" xfId="0" applyNumberFormat="1" applyFont="1" applyBorder="1" applyAlignment="1">
      <alignment horizontal="center" vertical="center" wrapText="1"/>
    </xf>
    <xf numFmtId="164" fontId="16" fillId="0" borderId="13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/>
    </xf>
    <xf numFmtId="0" fontId="10" fillId="0" borderId="8" xfId="0" applyFont="1" applyBorder="1" applyAlignment="1">
      <alignment horizontal="right" vertical="center"/>
    </xf>
    <xf numFmtId="0" fontId="10" fillId="0" borderId="8" xfId="0" applyFont="1" applyBorder="1" applyAlignment="1">
      <alignment vertical="center"/>
    </xf>
    <xf numFmtId="0" fontId="10" fillId="0" borderId="21" xfId="0" applyFont="1" applyBorder="1" applyAlignment="1">
      <alignment vertical="center"/>
    </xf>
    <xf numFmtId="165" fontId="16" fillId="0" borderId="3" xfId="0" applyNumberFormat="1" applyFont="1" applyBorder="1" applyAlignment="1">
      <alignment horizontal="center" vertical="center"/>
    </xf>
    <xf numFmtId="164" fontId="16" fillId="0" borderId="39" xfId="0" applyNumberFormat="1" applyFont="1" applyBorder="1" applyAlignment="1">
      <alignment horizontal="center" vertical="center"/>
    </xf>
    <xf numFmtId="0" fontId="10" fillId="0" borderId="13" xfId="0" applyFont="1" applyBorder="1" applyAlignment="1">
      <alignment horizontal="right" vertical="center"/>
    </xf>
    <xf numFmtId="168" fontId="0" fillId="0" borderId="0" xfId="0" applyNumberFormat="1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0" fontId="13" fillId="0" borderId="28" xfId="0" applyFont="1" applyBorder="1" applyAlignment="1">
      <alignment vertical="center"/>
    </xf>
    <xf numFmtId="0" fontId="13" fillId="0" borderId="24" xfId="0" applyFont="1" applyBorder="1" applyAlignment="1">
      <alignment vertical="center"/>
    </xf>
    <xf numFmtId="0" fontId="10" fillId="0" borderId="24" xfId="0" applyFont="1" applyBorder="1" applyAlignment="1">
      <alignment horizontal="right" vertical="center"/>
    </xf>
    <xf numFmtId="165" fontId="0" fillId="0" borderId="0" xfId="0" applyNumberFormat="1" applyProtection="1">
      <protection locked="0"/>
    </xf>
    <xf numFmtId="165" fontId="4" fillId="8" borderId="3" xfId="0" applyNumberFormat="1" applyFont="1" applyFill="1" applyBorder="1" applyAlignment="1" applyProtection="1">
      <alignment horizontal="center" vertical="center"/>
      <protection locked="0"/>
    </xf>
    <xf numFmtId="0" fontId="23" fillId="0" borderId="0" xfId="0" applyFont="1" applyAlignment="1">
      <alignment horizontal="center"/>
    </xf>
    <xf numFmtId="0" fontId="7" fillId="2" borderId="2" xfId="0" applyFont="1" applyFill="1" applyBorder="1" applyAlignment="1" applyProtection="1">
      <alignment horizontal="center" vertical="center" textRotation="90"/>
      <protection locked="0"/>
    </xf>
    <xf numFmtId="0" fontId="0" fillId="0" borderId="0" xfId="0" applyAlignment="1">
      <alignment horizontal="left"/>
    </xf>
    <xf numFmtId="0" fontId="32" fillId="0" borderId="0" xfId="0" applyFont="1"/>
    <xf numFmtId="0" fontId="32" fillId="0" borderId="0" xfId="0" applyFont="1" applyAlignment="1">
      <alignment horizontal="center" vertical="center"/>
    </xf>
    <xf numFmtId="0" fontId="22" fillId="0" borderId="2" xfId="0" applyFont="1" applyBorder="1" applyAlignment="1">
      <alignment horizontal="left" vertical="center" wrapText="1"/>
    </xf>
    <xf numFmtId="0" fontId="33" fillId="7" borderId="2" xfId="0" applyFont="1" applyFill="1" applyBorder="1" applyAlignment="1">
      <alignment horizontal="center" vertical="center"/>
    </xf>
    <xf numFmtId="0" fontId="23" fillId="0" borderId="0" xfId="0" applyFont="1" applyAlignment="1">
      <alignment horizontal="left"/>
    </xf>
    <xf numFmtId="0" fontId="0" fillId="0" borderId="0" xfId="0" applyAlignment="1" applyProtection="1">
      <alignment readingOrder="2"/>
      <protection locked="0"/>
    </xf>
    <xf numFmtId="166" fontId="36" fillId="0" borderId="0" xfId="0" applyNumberFormat="1" applyFont="1" applyAlignment="1">
      <alignment vertical="center" readingOrder="2"/>
    </xf>
    <xf numFmtId="0" fontId="21" fillId="0" borderId="2" xfId="0" applyFont="1" applyBorder="1" applyAlignment="1" applyProtection="1">
      <alignment vertical="center"/>
      <protection locked="0"/>
    </xf>
    <xf numFmtId="0" fontId="21" fillId="0" borderId="2" xfId="0" quotePrefix="1" applyFont="1" applyBorder="1" applyAlignment="1" applyProtection="1">
      <alignment horizontal="center" vertical="center"/>
      <protection locked="0"/>
    </xf>
    <xf numFmtId="0" fontId="38" fillId="0" borderId="2" xfId="0" quotePrefix="1" applyFont="1" applyBorder="1" applyAlignment="1" applyProtection="1">
      <alignment vertical="center" readingOrder="2"/>
      <protection locked="0"/>
    </xf>
    <xf numFmtId="164" fontId="4" fillId="0" borderId="2" xfId="0" quotePrefix="1" applyNumberFormat="1" applyFont="1" applyBorder="1" applyAlignment="1" applyProtection="1">
      <alignment horizontal="center" vertical="center"/>
      <protection locked="0"/>
    </xf>
    <xf numFmtId="0" fontId="18" fillId="0" borderId="2" xfId="0" applyFont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/>
      <protection locked="0"/>
    </xf>
    <xf numFmtId="164" fontId="18" fillId="0" borderId="2" xfId="0" applyNumberFormat="1" applyFont="1" applyBorder="1" applyAlignment="1">
      <alignment horizontal="center" vertical="center"/>
    </xf>
    <xf numFmtId="0" fontId="19" fillId="0" borderId="2" xfId="0" applyFont="1" applyBorder="1" applyAlignment="1" applyProtection="1">
      <alignment horizontal="center" vertical="center"/>
      <protection locked="0"/>
    </xf>
    <xf numFmtId="0" fontId="19" fillId="0" borderId="2" xfId="0" applyFont="1" applyBorder="1" applyAlignment="1" applyProtection="1">
      <alignment horizontal="center"/>
      <protection locked="0"/>
    </xf>
    <xf numFmtId="0" fontId="5" fillId="0" borderId="2" xfId="0" quotePrefix="1" applyFont="1" applyBorder="1" applyAlignment="1" applyProtection="1">
      <alignment horizontal="center" vertical="center" readingOrder="2"/>
      <protection locked="0"/>
    </xf>
    <xf numFmtId="0" fontId="5" fillId="0" borderId="2" xfId="0" applyFont="1" applyBorder="1" applyAlignment="1" applyProtection="1">
      <alignment horizontal="center" vertical="center" readingOrder="2"/>
      <protection locked="0"/>
    </xf>
    <xf numFmtId="0" fontId="28" fillId="7" borderId="2" xfId="0" applyFont="1" applyFill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12" xfId="0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center"/>
      <protection locked="0"/>
    </xf>
    <xf numFmtId="0" fontId="37" fillId="0" borderId="2" xfId="0" applyFont="1" applyBorder="1" applyAlignment="1" applyProtection="1">
      <alignment horizontal="center" vertical="center"/>
      <protection locked="0"/>
    </xf>
    <xf numFmtId="164" fontId="19" fillId="0" borderId="2" xfId="0" applyNumberFormat="1" applyFont="1" applyBorder="1" applyAlignment="1" applyProtection="1">
      <alignment horizontal="center" vertical="center"/>
      <protection locked="0"/>
    </xf>
    <xf numFmtId="0" fontId="18" fillId="0" borderId="2" xfId="0" applyFont="1" applyBorder="1" applyAlignment="1" applyProtection="1">
      <alignment horizontal="center" vertical="center" readingOrder="2"/>
      <protection locked="0"/>
    </xf>
    <xf numFmtId="49" fontId="18" fillId="0" borderId="2" xfId="0" applyNumberFormat="1" applyFont="1" applyBorder="1" applyAlignment="1" applyProtection="1">
      <alignment horizontal="center" vertical="center" readingOrder="2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7" fillId="0" borderId="12" xfId="0" applyFont="1" applyBorder="1" applyAlignment="1" applyProtection="1">
      <alignment horizontal="center" vertical="center"/>
      <protection locked="0"/>
    </xf>
    <xf numFmtId="0" fontId="7" fillId="0" borderId="11" xfId="0" applyFont="1" applyBorder="1" applyAlignment="1" applyProtection="1">
      <alignment horizontal="center" vertical="center"/>
      <protection locked="0"/>
    </xf>
    <xf numFmtId="0" fontId="7" fillId="6" borderId="3" xfId="0" applyFont="1" applyFill="1" applyBorder="1" applyAlignment="1" applyProtection="1">
      <alignment horizontal="center"/>
      <protection locked="0"/>
    </xf>
    <xf numFmtId="0" fontId="7" fillId="6" borderId="12" xfId="0" applyFont="1" applyFill="1" applyBorder="1" applyAlignment="1" applyProtection="1">
      <alignment horizontal="center"/>
      <protection locked="0"/>
    </xf>
    <xf numFmtId="0" fontId="7" fillId="6" borderId="11" xfId="0" applyFont="1" applyFill="1" applyBorder="1" applyAlignment="1" applyProtection="1">
      <alignment horizontal="center"/>
      <protection locked="0"/>
    </xf>
    <xf numFmtId="0" fontId="7" fillId="2" borderId="3" xfId="0" applyFont="1" applyFill="1" applyBorder="1" applyAlignment="1" applyProtection="1">
      <alignment horizontal="center"/>
      <protection locked="0"/>
    </xf>
    <xf numFmtId="0" fontId="7" fillId="2" borderId="12" xfId="0" applyFont="1" applyFill="1" applyBorder="1" applyAlignment="1" applyProtection="1">
      <alignment horizontal="center"/>
      <protection locked="0"/>
    </xf>
    <xf numFmtId="0" fontId="7" fillId="2" borderId="11" xfId="0" applyFont="1" applyFill="1" applyBorder="1" applyAlignment="1" applyProtection="1">
      <alignment horizont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168" fontId="26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7" fillId="0" borderId="14" xfId="0" applyFont="1" applyBorder="1" applyAlignment="1" applyProtection="1">
      <alignment horizontal="center" vertical="center" textRotation="90"/>
      <protection locked="0"/>
    </xf>
    <xf numFmtId="0" fontId="7" fillId="0" borderId="4" xfId="0" applyFont="1" applyBorder="1" applyAlignment="1" applyProtection="1">
      <alignment horizontal="center" vertical="center" textRotation="90"/>
      <protection locked="0"/>
    </xf>
    <xf numFmtId="0" fontId="26" fillId="0" borderId="2" xfId="0" applyFont="1" applyBorder="1" applyAlignment="1" applyProtection="1">
      <alignment horizontal="center" vertical="center" textRotation="90"/>
      <protection locked="0"/>
    </xf>
    <xf numFmtId="0" fontId="7" fillId="0" borderId="14" xfId="0" applyFont="1" applyBorder="1" applyAlignment="1" applyProtection="1">
      <alignment horizontal="center"/>
      <protection locked="0"/>
    </xf>
    <xf numFmtId="0" fontId="7" fillId="0" borderId="30" xfId="0" applyFont="1" applyBorder="1" applyAlignment="1" applyProtection="1">
      <alignment horizontal="center"/>
      <protection locked="0"/>
    </xf>
    <xf numFmtId="0" fontId="7" fillId="3" borderId="3" xfId="0" applyFont="1" applyFill="1" applyBorder="1" applyAlignment="1" applyProtection="1">
      <alignment horizontal="center" vertical="center"/>
      <protection locked="0"/>
    </xf>
    <xf numFmtId="0" fontId="7" fillId="3" borderId="12" xfId="0" applyFont="1" applyFill="1" applyBorder="1" applyAlignment="1" applyProtection="1">
      <alignment horizontal="center" vertical="center"/>
      <protection locked="0"/>
    </xf>
    <xf numFmtId="0" fontId="7" fillId="3" borderId="11" xfId="0" applyFont="1" applyFill="1" applyBorder="1" applyAlignment="1" applyProtection="1">
      <alignment horizontal="center" vertical="center"/>
      <protection locked="0"/>
    </xf>
    <xf numFmtId="0" fontId="0" fillId="0" borderId="1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7" fillId="2" borderId="2" xfId="0" applyFont="1" applyFill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 applyProtection="1">
      <alignment horizontal="center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6" borderId="2" xfId="0" applyFont="1" applyFill="1" applyBorder="1" applyAlignment="1" applyProtection="1">
      <alignment horizontal="center"/>
      <protection locked="0"/>
    </xf>
    <xf numFmtId="166" fontId="36" fillId="0" borderId="0" xfId="0" applyNumberFormat="1" applyFont="1" applyAlignment="1">
      <alignment horizontal="center" vertical="center" readingOrder="2"/>
    </xf>
    <xf numFmtId="166" fontId="36" fillId="0" borderId="29" xfId="0" applyNumberFormat="1" applyFont="1" applyBorder="1" applyAlignment="1">
      <alignment horizontal="center" vertical="center" readingOrder="2"/>
    </xf>
    <xf numFmtId="0" fontId="39" fillId="0" borderId="0" xfId="0" applyFont="1" applyAlignment="1">
      <alignment horizontal="right" vertical="center" readingOrder="2"/>
    </xf>
    <xf numFmtId="0" fontId="39" fillId="0" borderId="29" xfId="0" applyFont="1" applyBorder="1" applyAlignment="1">
      <alignment horizontal="right" vertical="center" readingOrder="2"/>
    </xf>
    <xf numFmtId="0" fontId="36" fillId="0" borderId="0" xfId="0" applyFont="1" applyAlignment="1">
      <alignment horizontal="center" vertical="center" readingOrder="2"/>
    </xf>
    <xf numFmtId="0" fontId="36" fillId="0" borderId="29" xfId="0" applyFont="1" applyBorder="1" applyAlignment="1">
      <alignment horizontal="center" vertical="center" readingOrder="2"/>
    </xf>
    <xf numFmtId="166" fontId="35" fillId="0" borderId="29" xfId="0" applyNumberFormat="1" applyFont="1" applyBorder="1" applyAlignment="1">
      <alignment horizontal="center" vertical="center" readingOrder="2"/>
    </xf>
    <xf numFmtId="0" fontId="24" fillId="3" borderId="14" xfId="0" applyFont="1" applyFill="1" applyBorder="1" applyAlignment="1" applyProtection="1">
      <alignment horizontal="center" vertical="center"/>
      <protection locked="0"/>
    </xf>
    <xf numFmtId="0" fontId="24" fillId="3" borderId="4" xfId="0" applyFont="1" applyFill="1" applyBorder="1" applyAlignment="1" applyProtection="1">
      <alignment horizontal="center" vertical="center"/>
      <protection locked="0"/>
    </xf>
    <xf numFmtId="0" fontId="2" fillId="0" borderId="14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30" xfId="0" applyFont="1" applyBorder="1" applyAlignment="1" applyProtection="1">
      <alignment horizontal="center" vertical="center"/>
      <protection locked="0"/>
    </xf>
    <xf numFmtId="0" fontId="12" fillId="0" borderId="0" xfId="0" applyFont="1" applyAlignment="1">
      <alignment horizontal="center" vertical="center" wrapText="1" readingOrder="2"/>
    </xf>
    <xf numFmtId="0" fontId="11" fillId="0" borderId="5" xfId="0" applyFont="1" applyBorder="1" applyAlignment="1">
      <alignment horizontal="center" vertical="center" readingOrder="2"/>
    </xf>
    <xf numFmtId="0" fontId="11" fillId="0" borderId="6" xfId="0" applyFont="1" applyBorder="1" applyAlignment="1">
      <alignment horizontal="center" vertical="center" readingOrder="2"/>
    </xf>
    <xf numFmtId="0" fontId="9" fillId="0" borderId="36" xfId="0" applyFont="1" applyBorder="1" applyAlignment="1">
      <alignment horizontal="center" vertical="center" textRotation="90" readingOrder="2"/>
    </xf>
    <xf numFmtId="0" fontId="9" fillId="0" borderId="3" xfId="0" applyFont="1" applyBorder="1" applyAlignment="1">
      <alignment horizontal="center" vertical="center" textRotation="90" readingOrder="2"/>
    </xf>
    <xf numFmtId="0" fontId="9" fillId="0" borderId="13" xfId="0" applyFont="1" applyBorder="1" applyAlignment="1">
      <alignment horizontal="center" vertical="center" textRotation="90" readingOrder="2"/>
    </xf>
    <xf numFmtId="165" fontId="16" fillId="0" borderId="28" xfId="0" applyNumberFormat="1" applyFont="1" applyBorder="1" applyAlignment="1">
      <alignment horizontal="center" vertical="center"/>
    </xf>
    <xf numFmtId="165" fontId="16" fillId="0" borderId="29" xfId="0" applyNumberFormat="1" applyFont="1" applyBorder="1" applyAlignment="1">
      <alignment horizontal="center" vertical="center"/>
    </xf>
    <xf numFmtId="0" fontId="10" fillId="0" borderId="0" xfId="0" applyFont="1" applyAlignment="1">
      <alignment horizontal="right" vertical="center" readingOrder="2"/>
    </xf>
    <xf numFmtId="0" fontId="10" fillId="0" borderId="27" xfId="0" applyFont="1" applyBorder="1" applyAlignment="1">
      <alignment horizontal="right" vertical="center" readingOrder="2"/>
    </xf>
    <xf numFmtId="0" fontId="10" fillId="0" borderId="40" xfId="0" applyFont="1" applyBorder="1" applyAlignment="1">
      <alignment horizontal="right" vertical="center" readingOrder="2"/>
    </xf>
    <xf numFmtId="0" fontId="10" fillId="0" borderId="41" xfId="0" applyFont="1" applyBorder="1" applyAlignment="1">
      <alignment horizontal="right" vertical="center" readingOrder="2"/>
    </xf>
    <xf numFmtId="0" fontId="10" fillId="0" borderId="31" xfId="0" applyFont="1" applyBorder="1" applyAlignment="1">
      <alignment horizontal="right" vertical="center" readingOrder="2"/>
    </xf>
    <xf numFmtId="0" fontId="10" fillId="0" borderId="25" xfId="0" applyFont="1" applyBorder="1" applyAlignment="1">
      <alignment horizontal="right" vertical="center" readingOrder="2"/>
    </xf>
    <xf numFmtId="0" fontId="10" fillId="0" borderId="32" xfId="0" applyFont="1" applyBorder="1" applyAlignment="1">
      <alignment horizontal="right" vertical="center" readingOrder="2"/>
    </xf>
    <xf numFmtId="0" fontId="9" fillId="0" borderId="7" xfId="0" applyFont="1" applyBorder="1" applyAlignment="1">
      <alignment horizontal="center" vertical="center" textRotation="90" readingOrder="2"/>
    </xf>
    <xf numFmtId="0" fontId="9" fillId="0" borderId="9" xfId="0" applyFont="1" applyBorder="1" applyAlignment="1">
      <alignment horizontal="center" vertical="center" textRotation="90" readingOrder="2"/>
    </xf>
    <xf numFmtId="0" fontId="11" fillId="0" borderId="8" xfId="0" applyFont="1" applyBorder="1" applyAlignment="1">
      <alignment horizontal="center" vertical="center" readingOrder="2"/>
    </xf>
    <xf numFmtId="0" fontId="11" fillId="0" borderId="2" xfId="0" applyFont="1" applyBorder="1" applyAlignment="1">
      <alignment horizontal="center" vertical="center" readingOrder="2"/>
    </xf>
    <xf numFmtId="0" fontId="11" fillId="0" borderId="14" xfId="0" applyFont="1" applyBorder="1" applyAlignment="1">
      <alignment horizontal="center" vertical="center" readingOrder="2"/>
    </xf>
    <xf numFmtId="0" fontId="10" fillId="0" borderId="24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0" fillId="0" borderId="24" xfId="0" applyFont="1" applyBorder="1" applyAlignment="1">
      <alignment horizontal="right" vertical="center" readingOrder="2"/>
    </xf>
    <xf numFmtId="165" fontId="16" fillId="0" borderId="4" xfId="0" applyNumberFormat="1" applyFont="1" applyBorder="1" applyAlignment="1">
      <alignment horizontal="center" vertical="center"/>
    </xf>
    <xf numFmtId="0" fontId="10" fillId="0" borderId="24" xfId="0" applyFont="1" applyBorder="1" applyAlignment="1">
      <alignment horizontal="right" vertical="center" wrapText="1" readingOrder="2"/>
    </xf>
    <xf numFmtId="0" fontId="10" fillId="0" borderId="0" xfId="0" applyFont="1" applyAlignment="1">
      <alignment horizontal="right" vertical="center" wrapText="1" readingOrder="2"/>
    </xf>
    <xf numFmtId="0" fontId="13" fillId="0" borderId="24" xfId="0" applyFont="1" applyBorder="1" applyAlignment="1">
      <alignment horizontal="left" vertical="center" wrapText="1" indent="7"/>
    </xf>
    <xf numFmtId="0" fontId="13" fillId="0" borderId="0" xfId="0" applyFont="1" applyAlignment="1">
      <alignment horizontal="left" vertical="center" wrapText="1" indent="7"/>
    </xf>
    <xf numFmtId="0" fontId="13" fillId="0" borderId="27" xfId="0" applyFont="1" applyBorder="1" applyAlignment="1">
      <alignment horizontal="left" vertical="center" wrapText="1" indent="7"/>
    </xf>
    <xf numFmtId="166" fontId="10" fillId="0" borderId="0" xfId="0" applyNumberFormat="1" applyFont="1" applyAlignment="1">
      <alignment horizontal="right" vertical="center" readingOrder="2"/>
    </xf>
    <xf numFmtId="0" fontId="11" fillId="0" borderId="16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0" fillId="0" borderId="0" xfId="0" applyFont="1" applyAlignment="1">
      <alignment horizontal="center" vertical="center" readingOrder="2"/>
    </xf>
    <xf numFmtId="0" fontId="11" fillId="0" borderId="35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34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readingOrder="2"/>
    </xf>
    <xf numFmtId="0" fontId="10" fillId="0" borderId="4" xfId="0" applyFont="1" applyBorder="1" applyAlignment="1">
      <alignment horizontal="center" vertical="center" readingOrder="2"/>
    </xf>
    <xf numFmtId="165" fontId="11" fillId="0" borderId="24" xfId="0" applyNumberFormat="1" applyFont="1" applyBorder="1" applyAlignment="1">
      <alignment horizontal="center" vertical="center" readingOrder="2"/>
    </xf>
    <xf numFmtId="165" fontId="11" fillId="0" borderId="22" xfId="0" applyNumberFormat="1" applyFont="1" applyBorder="1" applyAlignment="1">
      <alignment horizontal="center" vertical="center" readingOrder="2"/>
    </xf>
    <xf numFmtId="168" fontId="11" fillId="0" borderId="24" xfId="0" applyNumberFormat="1" applyFont="1" applyBorder="1" applyAlignment="1">
      <alignment horizontal="center" vertical="center" readingOrder="2"/>
    </xf>
    <xf numFmtId="168" fontId="11" fillId="0" borderId="0" xfId="0" applyNumberFormat="1" applyFont="1" applyAlignment="1">
      <alignment horizontal="center" vertical="center" readingOrder="2"/>
    </xf>
    <xf numFmtId="168" fontId="11" fillId="0" borderId="27" xfId="0" applyNumberFormat="1" applyFont="1" applyBorder="1" applyAlignment="1">
      <alignment horizontal="center" vertical="center" readingOrder="2"/>
    </xf>
    <xf numFmtId="168" fontId="11" fillId="0" borderId="22" xfId="0" applyNumberFormat="1" applyFont="1" applyBorder="1" applyAlignment="1">
      <alignment horizontal="center" vertical="center" readingOrder="2"/>
    </xf>
    <xf numFmtId="168" fontId="11" fillId="0" borderId="1" xfId="0" applyNumberFormat="1" applyFont="1" applyBorder="1" applyAlignment="1">
      <alignment horizontal="center" vertical="center" readingOrder="2"/>
    </xf>
    <xf numFmtId="168" fontId="11" fillId="0" borderId="26" xfId="0" applyNumberFormat="1" applyFont="1" applyBorder="1" applyAlignment="1">
      <alignment horizontal="center" vertical="center" readingOrder="2"/>
    </xf>
    <xf numFmtId="164" fontId="11" fillId="0" borderId="38" xfId="0" applyNumberFormat="1" applyFont="1" applyBorder="1" applyAlignment="1">
      <alignment horizontal="center" vertical="center"/>
    </xf>
    <xf numFmtId="164" fontId="11" fillId="0" borderId="27" xfId="0" applyNumberFormat="1" applyFont="1" applyBorder="1" applyAlignment="1">
      <alignment horizontal="center" vertical="center"/>
    </xf>
    <xf numFmtId="164" fontId="11" fillId="0" borderId="34" xfId="0" applyNumberFormat="1" applyFont="1" applyBorder="1" applyAlignment="1">
      <alignment horizontal="center" vertical="center"/>
    </xf>
    <xf numFmtId="164" fontId="11" fillId="0" borderId="26" xfId="0" applyNumberFormat="1" applyFont="1" applyBorder="1" applyAlignment="1">
      <alignment horizontal="center" vertical="center"/>
    </xf>
    <xf numFmtId="0" fontId="3" fillId="0" borderId="0" xfId="0" applyFont="1" applyAlignment="1" applyProtection="1">
      <alignment horizontal="center" vertical="center" wrapText="1" readingOrder="2"/>
      <protection locked="0"/>
    </xf>
    <xf numFmtId="0" fontId="10" fillId="0" borderId="18" xfId="0" applyFont="1" applyBorder="1" applyAlignment="1">
      <alignment horizontal="center" vertical="center" readingOrder="2"/>
    </xf>
    <xf numFmtId="0" fontId="10" fillId="0" borderId="20" xfId="0" applyFont="1" applyBorder="1" applyAlignment="1">
      <alignment horizontal="center" vertical="center" readingOrder="2"/>
    </xf>
    <xf numFmtId="165" fontId="2" fillId="0" borderId="0" xfId="0" applyNumberFormat="1" applyFont="1" applyAlignment="1" applyProtection="1">
      <alignment horizontal="center" vertical="top" readingOrder="2"/>
      <protection locked="0"/>
    </xf>
    <xf numFmtId="0" fontId="11" fillId="0" borderId="15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readingOrder="2"/>
    </xf>
    <xf numFmtId="165" fontId="16" fillId="0" borderId="2" xfId="0" applyNumberFormat="1" applyFont="1" applyBorder="1" applyAlignment="1">
      <alignment horizontal="center" vertical="center"/>
    </xf>
    <xf numFmtId="164" fontId="12" fillId="0" borderId="21" xfId="0" applyNumberFormat="1" applyFont="1" applyBorder="1" applyAlignment="1">
      <alignment horizontal="center" vertical="center"/>
    </xf>
    <xf numFmtId="164" fontId="12" fillId="0" borderId="14" xfId="0" applyNumberFormat="1" applyFont="1" applyBorder="1" applyAlignment="1">
      <alignment horizontal="center" vertical="center"/>
    </xf>
    <xf numFmtId="165" fontId="16" fillId="0" borderId="30" xfId="0" applyNumberFormat="1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readingOrder="2"/>
    </xf>
    <xf numFmtId="0" fontId="10" fillId="0" borderId="16" xfId="0" applyFont="1" applyBorder="1" applyAlignment="1">
      <alignment horizontal="center" vertical="center" readingOrder="2"/>
    </xf>
    <xf numFmtId="0" fontId="10" fillId="0" borderId="19" xfId="0" applyFont="1" applyBorder="1" applyAlignment="1">
      <alignment horizontal="center" vertical="center" readingOrder="2"/>
    </xf>
    <xf numFmtId="0" fontId="10" fillId="0" borderId="29" xfId="0" applyFont="1" applyBorder="1" applyAlignment="1">
      <alignment horizontal="right" vertical="center" readingOrder="2"/>
    </xf>
    <xf numFmtId="0" fontId="10" fillId="0" borderId="42" xfId="0" applyFont="1" applyBorder="1" applyAlignment="1">
      <alignment horizontal="right" vertical="center" readingOrder="2"/>
    </xf>
    <xf numFmtId="165" fontId="9" fillId="0" borderId="15" xfId="0" applyNumberFormat="1" applyFont="1" applyBorder="1" applyAlignment="1">
      <alignment horizontal="center" vertical="center"/>
    </xf>
    <xf numFmtId="165" fontId="9" fillId="0" borderId="16" xfId="0" applyNumberFormat="1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164" fontId="10" fillId="0" borderId="21" xfId="0" applyNumberFormat="1" applyFont="1" applyBorder="1" applyAlignment="1">
      <alignment horizontal="center" vertical="center"/>
    </xf>
    <xf numFmtId="164" fontId="10" fillId="0" borderId="14" xfId="0" applyNumberFormat="1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 readingOrder="2"/>
    </xf>
    <xf numFmtId="0" fontId="11" fillId="0" borderId="4" xfId="0" applyFont="1" applyBorder="1" applyAlignment="1">
      <alignment horizontal="center" vertical="center" readingOrder="2"/>
    </xf>
    <xf numFmtId="0" fontId="11" fillId="0" borderId="28" xfId="0" applyFont="1" applyBorder="1" applyAlignment="1">
      <alignment horizontal="center" vertical="center" readingOrder="2"/>
    </xf>
    <xf numFmtId="0" fontId="11" fillId="0" borderId="21" xfId="0" applyFont="1" applyBorder="1" applyAlignment="1">
      <alignment horizontal="center" vertical="center" readingOrder="2"/>
    </xf>
    <xf numFmtId="0" fontId="11" fillId="0" borderId="13" xfId="0" applyFont="1" applyBorder="1" applyAlignment="1">
      <alignment horizontal="center" vertical="center" readingOrder="2"/>
    </xf>
    <xf numFmtId="0" fontId="11" fillId="0" borderId="18" xfId="0" applyFont="1" applyBorder="1" applyAlignment="1">
      <alignment horizontal="center" vertical="center" readingOrder="2"/>
    </xf>
    <xf numFmtId="0" fontId="11" fillId="0" borderId="20" xfId="0" applyFont="1" applyBorder="1" applyAlignment="1">
      <alignment horizontal="center" vertical="center" readingOrder="2"/>
    </xf>
    <xf numFmtId="0" fontId="10" fillId="0" borderId="33" xfId="0" applyFont="1" applyBorder="1" applyAlignment="1">
      <alignment horizontal="center" vertical="center" readingOrder="2"/>
    </xf>
    <xf numFmtId="0" fontId="10" fillId="0" borderId="30" xfId="0" applyFont="1" applyBorder="1" applyAlignment="1">
      <alignment horizontal="center" vertical="center" readingOrder="2"/>
    </xf>
    <xf numFmtId="0" fontId="10" fillId="0" borderId="24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wrapText="1" readingOrder="2"/>
    </xf>
    <xf numFmtId="0" fontId="11" fillId="0" borderId="17" xfId="0" applyFont="1" applyBorder="1" applyAlignment="1">
      <alignment horizontal="center" vertical="center" wrapText="1" readingOrder="2"/>
    </xf>
    <xf numFmtId="0" fontId="40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165" fontId="16" fillId="0" borderId="36" xfId="0" applyNumberFormat="1" applyFont="1" applyBorder="1" applyAlignment="1">
      <alignment horizontal="center" vertical="center"/>
    </xf>
    <xf numFmtId="165" fontId="16" fillId="0" borderId="37" xfId="0" applyNumberFormat="1" applyFont="1" applyBorder="1" applyAlignment="1">
      <alignment horizontal="center" vertical="center"/>
    </xf>
    <xf numFmtId="0" fontId="27" fillId="0" borderId="15" xfId="0" applyFont="1" applyBorder="1" applyAlignment="1">
      <alignment horizontal="center" vertical="center" readingOrder="2"/>
    </xf>
    <xf numFmtId="0" fontId="27" fillId="0" borderId="16" xfId="0" applyFont="1" applyBorder="1" applyAlignment="1">
      <alignment horizontal="center" vertical="center" readingOrder="2"/>
    </xf>
    <xf numFmtId="165" fontId="11" fillId="0" borderId="15" xfId="0" applyNumberFormat="1" applyFont="1" applyBorder="1" applyAlignment="1">
      <alignment horizontal="center" vertical="center"/>
    </xf>
    <xf numFmtId="165" fontId="11" fillId="0" borderId="16" xfId="0" applyNumberFormat="1" applyFont="1" applyBorder="1" applyAlignment="1">
      <alignment horizontal="center" vertical="center"/>
    </xf>
    <xf numFmtId="0" fontId="25" fillId="0" borderId="0" xfId="0" applyFont="1" applyAlignment="1">
      <alignment horizontal="left" vertical="center" readingOrder="1"/>
    </xf>
    <xf numFmtId="0" fontId="35" fillId="0" borderId="29" xfId="0" applyFont="1" applyBorder="1" applyAlignment="1">
      <alignment horizontal="center" vertical="center" readingOrder="2"/>
    </xf>
    <xf numFmtId="0" fontId="27" fillId="0" borderId="0" xfId="0" applyFont="1" applyAlignment="1">
      <alignment horizontal="left" vertical="center" readingOrder="2"/>
    </xf>
    <xf numFmtId="0" fontId="27" fillId="0" borderId="29" xfId="0" applyFont="1" applyBorder="1" applyAlignment="1">
      <alignment horizontal="left" vertical="center" readingOrder="2"/>
    </xf>
    <xf numFmtId="0" fontId="10" fillId="0" borderId="22" xfId="0" applyFont="1" applyBorder="1" applyAlignment="1">
      <alignment horizontal="right" vertical="center" readingOrder="2"/>
    </xf>
    <xf numFmtId="0" fontId="10" fillId="0" borderId="1" xfId="0" applyFont="1" applyBorder="1" applyAlignment="1">
      <alignment horizontal="right" vertical="center" readingOrder="2"/>
    </xf>
    <xf numFmtId="0" fontId="10" fillId="0" borderId="26" xfId="0" applyFont="1" applyBorder="1" applyAlignment="1">
      <alignment horizontal="right" vertical="center" readingOrder="2"/>
    </xf>
    <xf numFmtId="164" fontId="16" fillId="0" borderId="18" xfId="0" applyNumberFormat="1" applyFont="1" applyBorder="1" applyAlignment="1">
      <alignment horizontal="center" vertical="center"/>
    </xf>
    <xf numFmtId="164" fontId="16" fillId="0" borderId="20" xfId="0" applyNumberFormat="1" applyFont="1" applyBorder="1" applyAlignment="1">
      <alignment horizontal="center" vertical="center"/>
    </xf>
    <xf numFmtId="0" fontId="23" fillId="0" borderId="0" xfId="0" applyFont="1" applyAlignment="1">
      <alignment horizontal="center"/>
    </xf>
    <xf numFmtId="0" fontId="34" fillId="7" borderId="0" xfId="0" applyFont="1" applyFill="1" applyAlignment="1">
      <alignment horizontal="center"/>
    </xf>
    <xf numFmtId="0" fontId="32" fillId="0" borderId="0" xfId="0" applyFont="1" applyAlignment="1">
      <alignment horizontal="center" vertical="center"/>
    </xf>
    <xf numFmtId="0" fontId="31" fillId="0" borderId="0" xfId="0" applyFont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7"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colors>
    <mruColors>
      <color rgb="FFFF7C80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trlProps/ctrlProp1.xml><?xml version="1.0" encoding="utf-8"?>
<formControlPr xmlns="http://schemas.microsoft.com/office/spreadsheetml/2009/9/main" objectType="Spin" dx="22" fmlaLink="$U$8" max="30000" page="10" val="24"/>
</file>

<file path=xl/ctrlProps/ctrlProp2.xml><?xml version="1.0" encoding="utf-8"?>
<formControlPr xmlns="http://schemas.microsoft.com/office/spreadsheetml/2009/9/main" objectType="Drop" dropLines="10" dropStyle="combo" dx="31" fmlaLink="$U$8" fmlaRange="'Nilai Tahriri'!$B$2:$B$27" noThreeD="1" sel="24" val="3"/>
</file>

<file path=xl/ctrlProps/ctrlProp3.xml><?xml version="1.0" encoding="utf-8"?>
<formControlPr xmlns="http://schemas.microsoft.com/office/spreadsheetml/2009/9/main" objectType="Drop" dropStyle="combo" dx="31" fmlaLink="$V$10" fmlaRange="'Nilai Tahriri'!$B$2:$B$41" noThreeD="1" sel="1" val="0"/>
</file>

<file path=xl/ctrlProps/ctrlProp4.xml><?xml version="1.0" encoding="utf-8"?>
<formControlPr xmlns="http://schemas.microsoft.com/office/spreadsheetml/2009/9/main" objectType="Drop" dropStyle="combo" dx="31" fmlaLink="$V$12" fmlaRange="'Nilai Tahriri'!$B$2:$B$41" noThreeD="1" sel="24" val="22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31750</xdr:colOff>
          <xdr:row>6</xdr:row>
          <xdr:rowOff>0</xdr:rowOff>
        </xdr:from>
        <xdr:to>
          <xdr:col>21</xdr:col>
          <xdr:colOff>603250</xdr:colOff>
          <xdr:row>7</xdr:row>
          <xdr:rowOff>241300</xdr:rowOff>
        </xdr:to>
        <xdr:sp macro="" textlink="">
          <xdr:nvSpPr>
            <xdr:cNvPr id="1027" name="Spinner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6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50800</xdr:colOff>
          <xdr:row>6</xdr:row>
          <xdr:rowOff>12700</xdr:rowOff>
        </xdr:from>
        <xdr:to>
          <xdr:col>24</xdr:col>
          <xdr:colOff>146050</xdr:colOff>
          <xdr:row>7</xdr:row>
          <xdr:rowOff>88900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6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9</xdr:row>
          <xdr:rowOff>12700</xdr:rowOff>
        </xdr:from>
        <xdr:to>
          <xdr:col>24</xdr:col>
          <xdr:colOff>165100</xdr:colOff>
          <xdr:row>10</xdr:row>
          <xdr:rowOff>165100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6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11</xdr:row>
          <xdr:rowOff>50800</xdr:rowOff>
        </xdr:from>
        <xdr:to>
          <xdr:col>24</xdr:col>
          <xdr:colOff>165100</xdr:colOff>
          <xdr:row>13</xdr:row>
          <xdr:rowOff>12700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6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31750</xdr:colOff>
          <xdr:row>14</xdr:row>
          <xdr:rowOff>12700</xdr:rowOff>
        </xdr:from>
        <xdr:to>
          <xdr:col>21</xdr:col>
          <xdr:colOff>584200</xdr:colOff>
          <xdr:row>16</xdr:row>
          <xdr:rowOff>31750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6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Preview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812800</xdr:colOff>
          <xdr:row>14</xdr:row>
          <xdr:rowOff>12700</xdr:rowOff>
        </xdr:from>
        <xdr:to>
          <xdr:col>24</xdr:col>
          <xdr:colOff>152400</xdr:colOff>
          <xdr:row>16</xdr:row>
          <xdr:rowOff>12700</xdr:rowOff>
        </xdr:to>
        <xdr:sp macro="" textlink="">
          <xdr:nvSpPr>
            <xdr:cNvPr id="1042" name="Button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6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Print ALL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739912</xdr:colOff>
      <xdr:row>55</xdr:row>
      <xdr:rowOff>220870</xdr:rowOff>
    </xdr:from>
    <xdr:to>
      <xdr:col>10</xdr:col>
      <xdr:colOff>215347</xdr:colOff>
      <xdr:row>55</xdr:row>
      <xdr:rowOff>220870</xdr:rowOff>
    </xdr:to>
    <xdr:cxnSp macro="">
      <xdr:nvCxnSpPr>
        <xdr:cNvPr id="3" name="Konektor Lurus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CxnSpPr/>
      </xdr:nvCxnSpPr>
      <xdr:spPr>
        <a:xfrm>
          <a:off x="1076738" y="10894392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362224</xdr:colOff>
      <xdr:row>55</xdr:row>
      <xdr:rowOff>218661</xdr:rowOff>
    </xdr:from>
    <xdr:to>
      <xdr:col>16</xdr:col>
      <xdr:colOff>638312</xdr:colOff>
      <xdr:row>55</xdr:row>
      <xdr:rowOff>218661</xdr:rowOff>
    </xdr:to>
    <xdr:cxnSp macro="">
      <xdr:nvCxnSpPr>
        <xdr:cNvPr id="5" name="Konektor Lurus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CxnSpPr/>
      </xdr:nvCxnSpPr>
      <xdr:spPr>
        <a:xfrm>
          <a:off x="5050181" y="10892183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452784</xdr:colOff>
      <xdr:row>49</xdr:row>
      <xdr:rowOff>220869</xdr:rowOff>
    </xdr:from>
    <xdr:to>
      <xdr:col>15</xdr:col>
      <xdr:colOff>279622</xdr:colOff>
      <xdr:row>49</xdr:row>
      <xdr:rowOff>220869</xdr:rowOff>
    </xdr:to>
    <xdr:cxnSp macro="">
      <xdr:nvCxnSpPr>
        <xdr:cNvPr id="6" name="Konektor Lurus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CxnSpPr/>
      </xdr:nvCxnSpPr>
      <xdr:spPr>
        <a:xfrm flipV="1">
          <a:off x="4003262" y="9536043"/>
          <a:ext cx="1737360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10</xdr:col>
      <xdr:colOff>821765</xdr:colOff>
      <xdr:row>53</xdr:row>
      <xdr:rowOff>14942</xdr:rowOff>
    </xdr:from>
    <xdr:to>
      <xdr:col>14</xdr:col>
      <xdr:colOff>313947</xdr:colOff>
      <xdr:row>57</xdr:row>
      <xdr:rowOff>128565</xdr:rowOff>
    </xdr:to>
    <xdr:pic>
      <xdr:nvPicPr>
        <xdr:cNvPr id="2" name="Picture 1" descr="TTD GUS.png">
          <a:extLst>
            <a:ext uri="{FF2B5EF4-FFF2-40B4-BE49-F238E27FC236}">
              <a16:creationId xmlns:a16="http://schemas.microsoft.com/office/drawing/2014/main" id="{2F5BE9E6-2BF5-471D-AA21-A0A174B11A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24529" b="17859"/>
        <a:stretch>
          <a:fillRect/>
        </a:stretch>
      </xdr:blipFill>
      <xdr:spPr>
        <a:xfrm>
          <a:off x="2980765" y="10167471"/>
          <a:ext cx="1994829" cy="103997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3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10" Type="http://schemas.openxmlformats.org/officeDocument/2006/relationships/ctrlProp" Target="../ctrlProps/ctrlProp6.xml"/><Relationship Id="rId4" Type="http://schemas.openxmlformats.org/officeDocument/2006/relationships/vmlDrawing" Target="../drawings/vmlDrawing2.vml"/><Relationship Id="rId9" Type="http://schemas.openxmlformats.org/officeDocument/2006/relationships/ctrlProp" Target="../ctrlProps/ctrlProp5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C2:C12"/>
  <sheetViews>
    <sheetView workbookViewId="0">
      <selection activeCell="C14" sqref="C14"/>
    </sheetView>
  </sheetViews>
  <sheetFormatPr defaultRowHeight="14.5" x14ac:dyDescent="0.35"/>
  <sheetData>
    <row r="2" spans="3:3" x14ac:dyDescent="0.35">
      <c r="C2" t="s">
        <v>145</v>
      </c>
    </row>
    <row r="4" spans="3:3" x14ac:dyDescent="0.35">
      <c r="C4" t="s">
        <v>146</v>
      </c>
    </row>
    <row r="6" spans="3:3" x14ac:dyDescent="0.35">
      <c r="C6" t="s">
        <v>147</v>
      </c>
    </row>
    <row r="8" spans="3:3" x14ac:dyDescent="0.35">
      <c r="C8" t="s">
        <v>148</v>
      </c>
    </row>
    <row r="10" spans="3:3" x14ac:dyDescent="0.35">
      <c r="C10" t="s">
        <v>149</v>
      </c>
    </row>
    <row r="12" spans="3:3" x14ac:dyDescent="0.35">
      <c r="C12" t="s">
        <v>150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7"/>
  <dimension ref="A1:L31"/>
  <sheetViews>
    <sheetView topLeftCell="A2" zoomScale="94" workbookViewId="0">
      <selection activeCell="O7" sqref="O7"/>
    </sheetView>
  </sheetViews>
  <sheetFormatPr defaultColWidth="8.7265625" defaultRowHeight="14.5" x14ac:dyDescent="0.35"/>
  <cols>
    <col min="1" max="1" width="8.7265625" style="21" customWidth="1"/>
    <col min="2" max="2" width="1.1796875" style="21" hidden="1" customWidth="1"/>
    <col min="3" max="3" width="24.453125" style="21" customWidth="1"/>
    <col min="4" max="4" width="24.81640625" style="21" customWidth="1"/>
    <col min="5" max="5" width="2.453125" style="21" customWidth="1"/>
    <col min="6" max="6" width="24.26953125" style="21" customWidth="1"/>
    <col min="7" max="16384" width="8.7265625" style="21"/>
  </cols>
  <sheetData>
    <row r="1" spans="1:12" x14ac:dyDescent="0.35">
      <c r="C1" s="127" t="s">
        <v>173</v>
      </c>
      <c r="D1" s="127"/>
      <c r="E1" s="127"/>
      <c r="F1" s="127"/>
      <c r="G1" s="127"/>
    </row>
    <row r="2" spans="1:12" x14ac:dyDescent="0.35">
      <c r="C2" s="127"/>
      <c r="D2" s="127"/>
      <c r="E2" s="127"/>
      <c r="F2" s="127"/>
      <c r="G2" s="127"/>
    </row>
    <row r="3" spans="1:12" ht="7.5" customHeight="1" x14ac:dyDescent="0.35">
      <c r="C3" s="128"/>
      <c r="D3" s="129"/>
      <c r="E3" s="129"/>
      <c r="F3" s="129"/>
      <c r="G3" s="130"/>
    </row>
    <row r="4" spans="1:12" ht="21" x14ac:dyDescent="0.35">
      <c r="A4" s="21" t="s">
        <v>97</v>
      </c>
      <c r="B4" s="21" t="str">
        <f>CONCATENATE(F4," ",E4," ",C4)</f>
        <v>الصف  : السادس د للبنين</v>
      </c>
      <c r="C4" s="123" t="s">
        <v>291</v>
      </c>
      <c r="D4" s="123"/>
      <c r="E4" s="123" t="s">
        <v>154</v>
      </c>
      <c r="F4" s="59" t="s">
        <v>153</v>
      </c>
      <c r="G4" s="122">
        <v>1</v>
      </c>
    </row>
    <row r="5" spans="1:12" x14ac:dyDescent="0.35">
      <c r="C5" s="123"/>
      <c r="D5" s="123"/>
      <c r="E5" s="123"/>
      <c r="F5" s="58" t="s">
        <v>158</v>
      </c>
      <c r="G5" s="122"/>
    </row>
    <row r="6" spans="1:12" ht="7" customHeight="1" x14ac:dyDescent="0.35">
      <c r="C6" s="121"/>
      <c r="D6" s="121"/>
      <c r="E6" s="121"/>
      <c r="F6" s="121"/>
      <c r="G6" s="121"/>
    </row>
    <row r="7" spans="1:12" ht="21" x14ac:dyDescent="0.35">
      <c r="A7" s="22" t="s">
        <v>97</v>
      </c>
      <c r="B7" s="21" t="str">
        <f>CONCATENATE(F7," ",E7," ",C7)</f>
        <v>الفصل الدراسي : الأول</v>
      </c>
      <c r="C7" s="132" t="s">
        <v>283</v>
      </c>
      <c r="D7" s="132"/>
      <c r="E7" s="123" t="s">
        <v>154</v>
      </c>
      <c r="F7" s="59" t="s">
        <v>165</v>
      </c>
      <c r="G7" s="122">
        <v>2</v>
      </c>
    </row>
    <row r="8" spans="1:12" ht="21.65" customHeight="1" x14ac:dyDescent="0.35">
      <c r="C8" s="132"/>
      <c r="D8" s="132"/>
      <c r="E8" s="123"/>
      <c r="F8" s="58" t="s">
        <v>166</v>
      </c>
      <c r="G8" s="122"/>
    </row>
    <row r="9" spans="1:12" ht="7" customHeight="1" x14ac:dyDescent="0.35">
      <c r="C9" s="121"/>
      <c r="D9" s="121"/>
      <c r="E9" s="121"/>
      <c r="F9" s="121"/>
      <c r="G9" s="121"/>
    </row>
    <row r="10" spans="1:12" ht="26.5" customHeight="1" x14ac:dyDescent="0.5">
      <c r="A10" s="21" t="s">
        <v>97</v>
      </c>
      <c r="B10" s="21" t="str">
        <f>CONCATENATE(F10," : ")</f>
        <v xml:space="preserve">العام الدراسي : </v>
      </c>
      <c r="C10" s="134" t="s">
        <v>285</v>
      </c>
      <c r="D10" s="134"/>
      <c r="E10" s="123" t="s">
        <v>154</v>
      </c>
      <c r="F10" s="57" t="s">
        <v>155</v>
      </c>
      <c r="G10" s="122">
        <v>3</v>
      </c>
    </row>
    <row r="11" spans="1:12" ht="26.15" customHeight="1" x14ac:dyDescent="0.35">
      <c r="B11" s="114" t="str">
        <f>CONCATENATE(C10," ","م")</f>
        <v>٢٠٢٤ - ٢٠٢٥ م</v>
      </c>
      <c r="C11" s="133" t="s">
        <v>286</v>
      </c>
      <c r="D11" s="133"/>
      <c r="E11" s="123"/>
      <c r="F11" s="58" t="s">
        <v>157</v>
      </c>
      <c r="G11" s="122"/>
    </row>
    <row r="12" spans="1:12" ht="6.65" customHeight="1" x14ac:dyDescent="0.35">
      <c r="B12" s="114" t="str">
        <f>CONCATENATE(C11," ","ه")</f>
        <v>١٤٤٥ - ١٤٤٦ ه</v>
      </c>
      <c r="C12" s="121"/>
      <c r="D12" s="121"/>
      <c r="E12" s="121"/>
      <c r="F12" s="121"/>
      <c r="G12" s="121"/>
    </row>
    <row r="13" spans="1:12" ht="21" x14ac:dyDescent="0.5">
      <c r="C13" s="125" t="s">
        <v>287</v>
      </c>
      <c r="D13" s="126"/>
      <c r="E13" s="123" t="s">
        <v>154</v>
      </c>
      <c r="F13" s="57" t="s">
        <v>156</v>
      </c>
      <c r="G13" s="122">
        <v>4</v>
      </c>
      <c r="K13" s="55"/>
    </row>
    <row r="14" spans="1:12" ht="22.5" customHeight="1" x14ac:dyDescent="0.35">
      <c r="C14" s="126" t="s">
        <v>288</v>
      </c>
      <c r="D14" s="126"/>
      <c r="E14" s="123"/>
      <c r="F14" s="58" t="s">
        <v>159</v>
      </c>
      <c r="G14" s="122"/>
      <c r="K14" s="55"/>
    </row>
    <row r="15" spans="1:12" ht="6" customHeight="1" x14ac:dyDescent="0.35">
      <c r="C15" s="121"/>
      <c r="D15" s="121"/>
      <c r="E15" s="121"/>
      <c r="F15" s="121"/>
      <c r="G15" s="121"/>
    </row>
    <row r="16" spans="1:12" ht="21" x14ac:dyDescent="0.5">
      <c r="C16" s="131" t="s">
        <v>342</v>
      </c>
      <c r="D16" s="131"/>
      <c r="E16" s="123" t="s">
        <v>154</v>
      </c>
      <c r="F16" s="57" t="s">
        <v>161</v>
      </c>
      <c r="G16" s="122">
        <v>5</v>
      </c>
      <c r="K16" s="55"/>
      <c r="L16" s="55"/>
    </row>
    <row r="17" spans="3:12" ht="14.5" customHeight="1" x14ac:dyDescent="0.35">
      <c r="C17" s="131"/>
      <c r="D17" s="131"/>
      <c r="E17" s="123"/>
      <c r="F17" s="58" t="s">
        <v>163</v>
      </c>
      <c r="G17" s="122"/>
    </row>
    <row r="18" spans="3:12" ht="6" customHeight="1" x14ac:dyDescent="0.5">
      <c r="C18" s="124"/>
      <c r="D18" s="124"/>
      <c r="E18" s="124"/>
      <c r="F18" s="124"/>
      <c r="G18" s="124"/>
    </row>
    <row r="19" spans="3:12" ht="21" x14ac:dyDescent="0.5">
      <c r="C19" s="120" t="s">
        <v>341</v>
      </c>
      <c r="D19" s="120"/>
      <c r="E19" s="123" t="s">
        <v>154</v>
      </c>
      <c r="F19" s="57" t="s">
        <v>162</v>
      </c>
      <c r="G19" s="122">
        <v>6</v>
      </c>
    </row>
    <row r="20" spans="3:12" x14ac:dyDescent="0.35">
      <c r="C20" s="120"/>
      <c r="D20" s="120"/>
      <c r="E20" s="123"/>
      <c r="F20" s="56" t="s">
        <v>164</v>
      </c>
      <c r="G20" s="122"/>
    </row>
    <row r="24" spans="3:12" x14ac:dyDescent="0.35">
      <c r="L24" s="55"/>
    </row>
    <row r="25" spans="3:12" x14ac:dyDescent="0.35">
      <c r="L25" s="55"/>
    </row>
    <row r="26" spans="3:12" x14ac:dyDescent="0.35">
      <c r="L26" s="55"/>
    </row>
    <row r="27" spans="3:12" x14ac:dyDescent="0.35">
      <c r="L27" s="55"/>
    </row>
    <row r="28" spans="3:12" x14ac:dyDescent="0.35">
      <c r="L28" s="55"/>
    </row>
    <row r="29" spans="3:12" x14ac:dyDescent="0.35">
      <c r="L29" s="55"/>
    </row>
    <row r="30" spans="3:12" x14ac:dyDescent="0.35">
      <c r="L30" s="55"/>
    </row>
    <row r="31" spans="3:12" x14ac:dyDescent="0.35">
      <c r="L31" s="55"/>
    </row>
  </sheetData>
  <sheetProtection selectLockedCells="1"/>
  <mergeCells count="27">
    <mergeCell ref="G7:G8"/>
    <mergeCell ref="G4:G5"/>
    <mergeCell ref="C1:G2"/>
    <mergeCell ref="C3:G3"/>
    <mergeCell ref="C16:D17"/>
    <mergeCell ref="E4:E5"/>
    <mergeCell ref="E7:E8"/>
    <mergeCell ref="E10:E11"/>
    <mergeCell ref="C4:D5"/>
    <mergeCell ref="C7:D8"/>
    <mergeCell ref="C11:D11"/>
    <mergeCell ref="C6:G6"/>
    <mergeCell ref="C9:G9"/>
    <mergeCell ref="G10:G11"/>
    <mergeCell ref="C10:D10"/>
    <mergeCell ref="C19:D20"/>
    <mergeCell ref="C12:G12"/>
    <mergeCell ref="G13:G14"/>
    <mergeCell ref="C15:G15"/>
    <mergeCell ref="G19:G20"/>
    <mergeCell ref="G16:G17"/>
    <mergeCell ref="E19:E20"/>
    <mergeCell ref="C18:G18"/>
    <mergeCell ref="E13:E14"/>
    <mergeCell ref="E16:E17"/>
    <mergeCell ref="C13:D13"/>
    <mergeCell ref="C14:D14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/>
  <dimension ref="A1:D41"/>
  <sheetViews>
    <sheetView workbookViewId="0">
      <selection activeCell="B2" sqref="B2"/>
    </sheetView>
  </sheetViews>
  <sheetFormatPr defaultColWidth="8.7265625" defaultRowHeight="14.5" x14ac:dyDescent="0.35"/>
  <cols>
    <col min="1" max="1" width="6.54296875" customWidth="1"/>
    <col min="2" max="2" width="32.453125" style="21" customWidth="1"/>
    <col min="3" max="3" width="10.1796875" style="21" customWidth="1"/>
    <col min="4" max="4" width="32.54296875" style="21" customWidth="1"/>
    <col min="5" max="16384" width="8.7265625" style="21"/>
  </cols>
  <sheetData>
    <row r="1" spans="1:4" ht="18" customHeight="1" x14ac:dyDescent="0.35">
      <c r="A1" s="12" t="s">
        <v>76</v>
      </c>
      <c r="B1" s="12" t="s">
        <v>167</v>
      </c>
      <c r="C1" s="12" t="s">
        <v>168</v>
      </c>
      <c r="D1" s="12" t="s">
        <v>290</v>
      </c>
    </row>
    <row r="2" spans="1:4" ht="18" customHeight="1" x14ac:dyDescent="0.35">
      <c r="A2" s="7">
        <v>1</v>
      </c>
      <c r="B2" s="116" t="s">
        <v>293</v>
      </c>
      <c r="C2" s="117" t="s">
        <v>294</v>
      </c>
      <c r="D2" s="118" t="s">
        <v>292</v>
      </c>
    </row>
    <row r="3" spans="1:4" ht="18" customHeight="1" x14ac:dyDescent="0.35">
      <c r="A3" s="7">
        <v>2</v>
      </c>
      <c r="B3" s="116" t="s">
        <v>295</v>
      </c>
      <c r="C3" s="117" t="s">
        <v>296</v>
      </c>
      <c r="D3" s="118" t="s">
        <v>97</v>
      </c>
    </row>
    <row r="4" spans="1:4" ht="18" customHeight="1" x14ac:dyDescent="0.35">
      <c r="A4" s="7">
        <v>3</v>
      </c>
      <c r="B4" s="116" t="s">
        <v>297</v>
      </c>
      <c r="C4" s="117" t="s">
        <v>298</v>
      </c>
      <c r="D4" s="118" t="s">
        <v>97</v>
      </c>
    </row>
    <row r="5" spans="1:4" ht="18" customHeight="1" x14ac:dyDescent="0.35">
      <c r="A5" s="7">
        <v>4</v>
      </c>
      <c r="B5" s="116" t="s">
        <v>299</v>
      </c>
      <c r="C5" s="117" t="s">
        <v>300</v>
      </c>
      <c r="D5" s="118" t="s">
        <v>97</v>
      </c>
    </row>
    <row r="6" spans="1:4" ht="18" customHeight="1" x14ac:dyDescent="0.35">
      <c r="A6" s="7">
        <v>5</v>
      </c>
      <c r="B6" s="116" t="s">
        <v>301</v>
      </c>
      <c r="C6" s="117" t="s">
        <v>302</v>
      </c>
      <c r="D6" s="118" t="s">
        <v>97</v>
      </c>
    </row>
    <row r="7" spans="1:4" ht="18" customHeight="1" x14ac:dyDescent="0.35">
      <c r="A7" s="7">
        <v>6</v>
      </c>
      <c r="B7" s="116" t="s">
        <v>303</v>
      </c>
      <c r="C7" s="117" t="s">
        <v>304</v>
      </c>
      <c r="D7" s="118" t="s">
        <v>97</v>
      </c>
    </row>
    <row r="8" spans="1:4" ht="18" customHeight="1" x14ac:dyDescent="0.35">
      <c r="A8" s="7">
        <v>7</v>
      </c>
      <c r="B8" s="116" t="s">
        <v>305</v>
      </c>
      <c r="C8" s="117" t="s">
        <v>306</v>
      </c>
      <c r="D8" s="118" t="s">
        <v>97</v>
      </c>
    </row>
    <row r="9" spans="1:4" ht="18" customHeight="1" x14ac:dyDescent="0.35">
      <c r="A9" s="7">
        <v>8</v>
      </c>
      <c r="B9" s="116" t="s">
        <v>307</v>
      </c>
      <c r="C9" s="117" t="s">
        <v>308</v>
      </c>
      <c r="D9" s="118" t="s">
        <v>97</v>
      </c>
    </row>
    <row r="10" spans="1:4" ht="18" customHeight="1" x14ac:dyDescent="0.35">
      <c r="A10" s="7">
        <v>9</v>
      </c>
      <c r="B10" s="116" t="s">
        <v>309</v>
      </c>
      <c r="C10" s="117" t="s">
        <v>310</v>
      </c>
      <c r="D10" s="118" t="s">
        <v>97</v>
      </c>
    </row>
    <row r="11" spans="1:4" ht="18" customHeight="1" x14ac:dyDescent="0.35">
      <c r="A11" s="7">
        <v>10</v>
      </c>
      <c r="B11" s="116" t="s">
        <v>311</v>
      </c>
      <c r="C11" s="117" t="s">
        <v>312</v>
      </c>
      <c r="D11" s="118" t="s">
        <v>97</v>
      </c>
    </row>
    <row r="12" spans="1:4" ht="18" customHeight="1" x14ac:dyDescent="0.35">
      <c r="A12" s="7">
        <v>11</v>
      </c>
      <c r="B12" s="116" t="s">
        <v>313</v>
      </c>
      <c r="C12" s="117" t="s">
        <v>314</v>
      </c>
      <c r="D12" s="118" t="s">
        <v>97</v>
      </c>
    </row>
    <row r="13" spans="1:4" ht="18" customHeight="1" x14ac:dyDescent="0.35">
      <c r="A13" s="7">
        <v>12</v>
      </c>
      <c r="B13" s="116" t="s">
        <v>315</v>
      </c>
      <c r="C13" s="117" t="s">
        <v>316</v>
      </c>
      <c r="D13" s="118" t="s">
        <v>97</v>
      </c>
    </row>
    <row r="14" spans="1:4" ht="18" customHeight="1" x14ac:dyDescent="0.35">
      <c r="A14" s="7">
        <v>13</v>
      </c>
      <c r="B14" s="116" t="s">
        <v>317</v>
      </c>
      <c r="C14" s="117" t="s">
        <v>318</v>
      </c>
      <c r="D14" s="118" t="s">
        <v>97</v>
      </c>
    </row>
    <row r="15" spans="1:4" ht="18" customHeight="1" x14ac:dyDescent="0.35">
      <c r="A15" s="7">
        <v>14</v>
      </c>
      <c r="B15" s="116" t="s">
        <v>319</v>
      </c>
      <c r="C15" s="117" t="s">
        <v>320</v>
      </c>
      <c r="D15" s="118" t="s">
        <v>97</v>
      </c>
    </row>
    <row r="16" spans="1:4" ht="18" customHeight="1" x14ac:dyDescent="0.35">
      <c r="A16" s="7">
        <v>15</v>
      </c>
      <c r="B16" s="116" t="s">
        <v>321</v>
      </c>
      <c r="C16" s="117" t="s">
        <v>322</v>
      </c>
      <c r="D16" s="118" t="s">
        <v>97</v>
      </c>
    </row>
    <row r="17" spans="1:4" ht="18" customHeight="1" x14ac:dyDescent="0.35">
      <c r="A17" s="7">
        <v>16</v>
      </c>
      <c r="B17" s="116" t="s">
        <v>323</v>
      </c>
      <c r="C17" s="117" t="s">
        <v>324</v>
      </c>
      <c r="D17" s="118" t="s">
        <v>97</v>
      </c>
    </row>
    <row r="18" spans="1:4" ht="18" customHeight="1" x14ac:dyDescent="0.35">
      <c r="A18" s="7">
        <v>17</v>
      </c>
      <c r="B18" s="116" t="s">
        <v>325</v>
      </c>
      <c r="C18" s="117" t="s">
        <v>326</v>
      </c>
      <c r="D18" s="118" t="s">
        <v>97</v>
      </c>
    </row>
    <row r="19" spans="1:4" ht="18" customHeight="1" x14ac:dyDescent="0.35">
      <c r="A19" s="7">
        <v>18</v>
      </c>
      <c r="B19" s="116" t="s">
        <v>327</v>
      </c>
      <c r="C19" s="117" t="s">
        <v>328</v>
      </c>
      <c r="D19" s="118" t="s">
        <v>97</v>
      </c>
    </row>
    <row r="20" spans="1:4" ht="18" customHeight="1" x14ac:dyDescent="0.35">
      <c r="A20" s="7">
        <v>19</v>
      </c>
      <c r="B20" s="116" t="s">
        <v>329</v>
      </c>
      <c r="C20" s="117" t="s">
        <v>330</v>
      </c>
      <c r="D20" s="118" t="s">
        <v>97</v>
      </c>
    </row>
    <row r="21" spans="1:4" ht="18" customHeight="1" x14ac:dyDescent="0.35">
      <c r="A21" s="7">
        <v>20</v>
      </c>
      <c r="B21" s="116" t="s">
        <v>331</v>
      </c>
      <c r="C21" s="117" t="s">
        <v>332</v>
      </c>
      <c r="D21" s="118" t="s">
        <v>97</v>
      </c>
    </row>
    <row r="22" spans="1:4" ht="18" customHeight="1" x14ac:dyDescent="0.35">
      <c r="A22" s="7">
        <v>21</v>
      </c>
      <c r="B22" s="116" t="s">
        <v>333</v>
      </c>
      <c r="C22" s="117" t="s">
        <v>334</v>
      </c>
      <c r="D22" s="118" t="s">
        <v>97</v>
      </c>
    </row>
    <row r="23" spans="1:4" ht="18" customHeight="1" x14ac:dyDescent="0.35">
      <c r="A23" s="7">
        <v>22</v>
      </c>
      <c r="B23" s="116" t="s">
        <v>335</v>
      </c>
      <c r="C23" s="117" t="s">
        <v>336</v>
      </c>
      <c r="D23" s="118" t="s">
        <v>97</v>
      </c>
    </row>
    <row r="24" spans="1:4" ht="18" customHeight="1" x14ac:dyDescent="0.35">
      <c r="A24" s="7">
        <v>23</v>
      </c>
      <c r="B24" s="116" t="s">
        <v>337</v>
      </c>
      <c r="C24" s="117" t="s">
        <v>338</v>
      </c>
      <c r="D24" s="118" t="s">
        <v>97</v>
      </c>
    </row>
    <row r="25" spans="1:4" ht="18" customHeight="1" x14ac:dyDescent="0.35">
      <c r="A25" s="7">
        <v>24</v>
      </c>
      <c r="B25" s="116" t="s">
        <v>339</v>
      </c>
      <c r="C25" s="117" t="s">
        <v>340</v>
      </c>
      <c r="D25" s="118" t="s">
        <v>97</v>
      </c>
    </row>
    <row r="26" spans="1:4" ht="18" customHeight="1" x14ac:dyDescent="0.35">
      <c r="A26" s="7">
        <v>25</v>
      </c>
      <c r="B26" s="116"/>
      <c r="C26" s="117"/>
      <c r="D26" s="118" t="s">
        <v>97</v>
      </c>
    </row>
    <row r="27" spans="1:4" ht="18" customHeight="1" x14ac:dyDescent="0.35">
      <c r="A27" s="7">
        <v>26</v>
      </c>
      <c r="B27" s="116"/>
      <c r="C27" s="117"/>
      <c r="D27" s="118" t="s">
        <v>97</v>
      </c>
    </row>
    <row r="28" spans="1:4" ht="18" customHeight="1" x14ac:dyDescent="0.35">
      <c r="A28" s="7">
        <v>27</v>
      </c>
      <c r="B28" s="116"/>
      <c r="C28" s="117"/>
      <c r="D28" s="118" t="s">
        <v>97</v>
      </c>
    </row>
    <row r="29" spans="1:4" ht="18" customHeight="1" x14ac:dyDescent="0.35">
      <c r="A29" s="7">
        <v>28</v>
      </c>
      <c r="B29" s="116"/>
      <c r="C29" s="117"/>
      <c r="D29" s="118" t="s">
        <v>97</v>
      </c>
    </row>
    <row r="30" spans="1:4" ht="18" customHeight="1" x14ac:dyDescent="0.35">
      <c r="A30" s="7">
        <v>29</v>
      </c>
      <c r="B30" s="116"/>
      <c r="C30" s="117"/>
      <c r="D30" s="118" t="s">
        <v>97</v>
      </c>
    </row>
    <row r="31" spans="1:4" ht="18" customHeight="1" x14ac:dyDescent="0.35">
      <c r="A31" s="7">
        <v>30</v>
      </c>
      <c r="B31" s="116"/>
      <c r="C31" s="117"/>
      <c r="D31" s="118" t="s">
        <v>97</v>
      </c>
    </row>
    <row r="32" spans="1:4" ht="18" customHeight="1" x14ac:dyDescent="0.35">
      <c r="A32" s="7">
        <v>31</v>
      </c>
      <c r="B32" s="116"/>
      <c r="C32" s="116"/>
      <c r="D32" s="118" t="s">
        <v>97</v>
      </c>
    </row>
    <row r="33" spans="1:4" ht="18" customHeight="1" x14ac:dyDescent="0.35">
      <c r="A33" s="7">
        <v>32</v>
      </c>
      <c r="B33" s="116"/>
      <c r="C33" s="116"/>
      <c r="D33" s="118" t="s">
        <v>97</v>
      </c>
    </row>
    <row r="34" spans="1:4" ht="18" customHeight="1" x14ac:dyDescent="0.35">
      <c r="A34" s="7">
        <v>33</v>
      </c>
      <c r="B34" s="116"/>
      <c r="C34" s="116"/>
      <c r="D34" s="118" t="s">
        <v>97</v>
      </c>
    </row>
    <row r="35" spans="1:4" ht="18" customHeight="1" x14ac:dyDescent="0.35">
      <c r="A35" s="7">
        <v>34</v>
      </c>
      <c r="B35" s="116"/>
      <c r="C35" s="116"/>
      <c r="D35" s="118" t="s">
        <v>97</v>
      </c>
    </row>
    <row r="36" spans="1:4" ht="18" customHeight="1" x14ac:dyDescent="0.35">
      <c r="A36" s="7">
        <v>35</v>
      </c>
      <c r="B36" s="116"/>
      <c r="C36" s="116"/>
      <c r="D36" s="118" t="s">
        <v>97</v>
      </c>
    </row>
    <row r="37" spans="1:4" ht="18" customHeight="1" x14ac:dyDescent="0.35">
      <c r="A37" s="7">
        <v>36</v>
      </c>
      <c r="B37" s="116"/>
      <c r="C37" s="116"/>
      <c r="D37" s="118" t="s">
        <v>97</v>
      </c>
    </row>
    <row r="38" spans="1:4" ht="18" customHeight="1" x14ac:dyDescent="0.35">
      <c r="A38" s="7">
        <v>37</v>
      </c>
      <c r="B38" s="116"/>
      <c r="C38" s="116"/>
      <c r="D38" s="118" t="s">
        <v>97</v>
      </c>
    </row>
    <row r="39" spans="1:4" ht="18" customHeight="1" x14ac:dyDescent="0.35">
      <c r="A39" s="7">
        <v>38</v>
      </c>
      <c r="B39" s="116"/>
      <c r="C39" s="116"/>
      <c r="D39" s="118" t="s">
        <v>97</v>
      </c>
    </row>
    <row r="40" spans="1:4" ht="18" customHeight="1" x14ac:dyDescent="0.35">
      <c r="A40" s="7">
        <v>39</v>
      </c>
      <c r="B40" s="116"/>
      <c r="C40" s="116"/>
      <c r="D40" s="118" t="s">
        <v>97</v>
      </c>
    </row>
    <row r="41" spans="1:4" ht="18" customHeight="1" x14ac:dyDescent="0.35">
      <c r="A41" s="7">
        <v>40</v>
      </c>
      <c r="B41" s="116"/>
      <c r="C41" s="116"/>
      <c r="D41" s="118" t="s">
        <v>97</v>
      </c>
    </row>
  </sheetData>
  <sheetProtection algorithmName="SHA-512" hashValue="83QJ5NXDbTrtlrW2CSPuPRcKRP905RASseq53xMLSfSypWTymKaURke6kaLtFXLRpv6QE3gk4RfL4eIA94RrtA==" saltValue="GFsrbir+evD80pV16rDcyQ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A1:AP41"/>
  <sheetViews>
    <sheetView topLeftCell="A15" zoomScale="89" zoomScaleNormal="89" workbookViewId="0">
      <selection activeCell="V15" sqref="V15"/>
    </sheetView>
  </sheetViews>
  <sheetFormatPr defaultRowHeight="14.5" x14ac:dyDescent="0.35"/>
  <cols>
    <col min="1" max="1" width="6.54296875" customWidth="1"/>
    <col min="2" max="2" width="32.453125" customWidth="1"/>
    <col min="3" max="3" width="5.81640625" bestFit="1" customWidth="1"/>
    <col min="4" max="4" width="4.26953125" bestFit="1" customWidth="1"/>
    <col min="5" max="6" width="4.1796875" bestFit="1" customWidth="1"/>
    <col min="7" max="7" width="4" bestFit="1" customWidth="1"/>
    <col min="8" max="8" width="5.453125" bestFit="1" customWidth="1"/>
    <col min="9" max="9" width="4.1796875" bestFit="1" customWidth="1"/>
    <col min="10" max="10" width="4.1796875" customWidth="1"/>
    <col min="11" max="11" width="4.1796875" bestFit="1" customWidth="1"/>
    <col min="12" max="12" width="5.453125" bestFit="1" customWidth="1"/>
    <col min="13" max="13" width="4.1796875" bestFit="1" customWidth="1"/>
    <col min="14" max="16" width="5.453125" bestFit="1" customWidth="1"/>
    <col min="17" max="19" width="4.1796875" bestFit="1" customWidth="1"/>
    <col min="20" max="20" width="5.453125" bestFit="1" customWidth="1"/>
    <col min="21" max="22" width="4.1796875" customWidth="1"/>
    <col min="23" max="25" width="4.1796875" bestFit="1" customWidth="1"/>
    <col min="26" max="26" width="4.1796875" customWidth="1"/>
    <col min="27" max="28" width="4.26953125" bestFit="1" customWidth="1"/>
    <col min="29" max="30" width="5.1796875" bestFit="1" customWidth="1"/>
    <col min="31" max="32" width="4.1796875" bestFit="1" customWidth="1"/>
    <col min="33" max="33" width="5.453125" bestFit="1" customWidth="1"/>
    <col min="34" max="37" width="4.1796875" bestFit="1" customWidth="1"/>
    <col min="38" max="38" width="5.453125" bestFit="1" customWidth="1"/>
    <col min="39" max="39" width="4.1796875" bestFit="1" customWidth="1"/>
    <col min="40" max="40" width="4.1796875" customWidth="1"/>
    <col min="41" max="41" width="8.453125" customWidth="1"/>
    <col min="42" max="42" width="7.1796875" style="5" bestFit="1" customWidth="1"/>
  </cols>
  <sheetData>
    <row r="1" spans="1:42" ht="71.150000000000006" customHeight="1" x14ac:dyDescent="0.35">
      <c r="A1" s="11" t="s">
        <v>76</v>
      </c>
      <c r="B1" s="12" t="s">
        <v>167</v>
      </c>
      <c r="C1" s="11" t="s">
        <v>54</v>
      </c>
      <c r="D1" s="107" t="s">
        <v>7</v>
      </c>
      <c r="E1" s="107" t="s">
        <v>9</v>
      </c>
      <c r="F1" s="107" t="s">
        <v>11</v>
      </c>
      <c r="G1" s="107" t="s">
        <v>13</v>
      </c>
      <c r="H1" s="107" t="s">
        <v>56</v>
      </c>
      <c r="I1" s="107" t="s">
        <v>15</v>
      </c>
      <c r="J1" s="107" t="s">
        <v>280</v>
      </c>
      <c r="K1" s="107" t="s">
        <v>57</v>
      </c>
      <c r="L1" s="107" t="s">
        <v>58</v>
      </c>
      <c r="M1" s="107" t="s">
        <v>59</v>
      </c>
      <c r="N1" s="107" t="s">
        <v>60</v>
      </c>
      <c r="O1" s="107" t="s">
        <v>61</v>
      </c>
      <c r="P1" s="107" t="s">
        <v>17</v>
      </c>
      <c r="Q1" s="107" t="s">
        <v>18</v>
      </c>
      <c r="R1" s="107" t="s">
        <v>62</v>
      </c>
      <c r="S1" s="107" t="s">
        <v>63</v>
      </c>
      <c r="T1" s="107" t="s">
        <v>20</v>
      </c>
      <c r="U1" s="107" t="s">
        <v>277</v>
      </c>
      <c r="V1" s="107" t="s">
        <v>278</v>
      </c>
      <c r="W1" s="107" t="s">
        <v>23</v>
      </c>
      <c r="X1" s="107" t="s">
        <v>64</v>
      </c>
      <c r="Y1" s="107" t="s">
        <v>26</v>
      </c>
      <c r="Z1" s="107" t="s">
        <v>279</v>
      </c>
      <c r="AA1" s="107" t="s">
        <v>29</v>
      </c>
      <c r="AB1" s="107" t="s">
        <v>30</v>
      </c>
      <c r="AC1" s="13" t="s">
        <v>65</v>
      </c>
      <c r="AD1" s="13" t="s">
        <v>67</v>
      </c>
      <c r="AE1" s="13" t="s">
        <v>68</v>
      </c>
      <c r="AF1" s="13" t="s">
        <v>69</v>
      </c>
      <c r="AG1" s="13" t="s">
        <v>70</v>
      </c>
      <c r="AH1" s="13" t="s">
        <v>71</v>
      </c>
      <c r="AI1" s="13" t="s">
        <v>72</v>
      </c>
      <c r="AJ1" s="13" t="s">
        <v>73</v>
      </c>
      <c r="AK1" s="13" t="s">
        <v>74</v>
      </c>
      <c r="AL1" s="13" t="s">
        <v>75</v>
      </c>
      <c r="AM1" s="13" t="s">
        <v>77</v>
      </c>
      <c r="AN1" s="13" t="s">
        <v>276</v>
      </c>
      <c r="AO1" s="14" t="s">
        <v>78</v>
      </c>
      <c r="AP1" s="15" t="s">
        <v>144</v>
      </c>
    </row>
    <row r="2" spans="1:42" ht="15.5" x14ac:dyDescent="0.35">
      <c r="A2" s="10">
        <f>'Data Siswa'!A2</f>
        <v>1</v>
      </c>
      <c r="B2" s="77" t="str">
        <f>'Data Siswa'!B2</f>
        <v>ABDUL ALLAN DARMA SAPUTRA</v>
      </c>
      <c r="C2" s="10" t="str">
        <f>'Data Siswa'!C2</f>
        <v>0579</v>
      </c>
      <c r="D2" s="16">
        <v>4</v>
      </c>
      <c r="E2" s="16">
        <v>4</v>
      </c>
      <c r="F2" s="16">
        <v>4</v>
      </c>
      <c r="G2" s="16">
        <v>5</v>
      </c>
      <c r="H2" s="16">
        <v>4.5</v>
      </c>
      <c r="I2" s="16">
        <v>4.5</v>
      </c>
      <c r="J2" s="16">
        <v>7</v>
      </c>
      <c r="K2" s="16">
        <v>5</v>
      </c>
      <c r="L2" s="16">
        <v>7</v>
      </c>
      <c r="M2" s="16">
        <v>8</v>
      </c>
      <c r="N2" s="16">
        <v>5</v>
      </c>
      <c r="O2" s="16">
        <v>4</v>
      </c>
      <c r="P2" s="16">
        <v>4</v>
      </c>
      <c r="Q2" s="16">
        <v>6</v>
      </c>
      <c r="R2" s="16">
        <v>6</v>
      </c>
      <c r="S2" s="16">
        <v>6</v>
      </c>
      <c r="T2" s="16">
        <v>4</v>
      </c>
      <c r="U2" s="16">
        <v>6</v>
      </c>
      <c r="V2" s="16">
        <v>5</v>
      </c>
      <c r="W2" s="16">
        <v>5</v>
      </c>
      <c r="X2" s="16">
        <v>5</v>
      </c>
      <c r="Y2" s="16"/>
      <c r="Z2" s="16">
        <v>4</v>
      </c>
      <c r="AA2" s="16">
        <v>7</v>
      </c>
      <c r="AB2" s="16">
        <v>6</v>
      </c>
      <c r="AC2" s="16">
        <v>7.6</v>
      </c>
      <c r="AD2" s="16">
        <v>4</v>
      </c>
      <c r="AE2" s="16">
        <v>3.5</v>
      </c>
      <c r="AF2" s="105"/>
      <c r="AG2" s="105"/>
      <c r="AH2" s="105"/>
      <c r="AI2" s="16">
        <v>5</v>
      </c>
      <c r="AJ2" s="16">
        <v>7</v>
      </c>
      <c r="AK2" s="16">
        <v>7.8</v>
      </c>
      <c r="AL2" s="16">
        <v>7.8</v>
      </c>
      <c r="AM2" s="16">
        <v>7.5</v>
      </c>
      <c r="AN2" s="16">
        <v>8</v>
      </c>
      <c r="AO2" s="17">
        <f>SUM(D2:AN2)</f>
        <v>184.20000000000002</v>
      </c>
      <c r="AP2" s="65">
        <f>AVERAGE(D2:AN2)</f>
        <v>5.581818181818182</v>
      </c>
    </row>
    <row r="3" spans="1:42" ht="15.5" x14ac:dyDescent="0.35">
      <c r="A3" s="10">
        <f>'Data Siswa'!A3</f>
        <v>2</v>
      </c>
      <c r="B3" s="77" t="str">
        <f>'Data Siswa'!B3</f>
        <v>ABDUL FATTAH</v>
      </c>
      <c r="C3" s="10" t="str">
        <f>'Data Siswa'!C3</f>
        <v>0580</v>
      </c>
      <c r="D3" s="16">
        <v>4</v>
      </c>
      <c r="E3" s="16">
        <v>4</v>
      </c>
      <c r="F3" s="16">
        <v>4</v>
      </c>
      <c r="G3" s="16">
        <v>4</v>
      </c>
      <c r="H3" s="16">
        <v>4</v>
      </c>
      <c r="I3" s="16">
        <v>4.5</v>
      </c>
      <c r="J3" s="16">
        <v>4</v>
      </c>
      <c r="K3" s="16">
        <v>4</v>
      </c>
      <c r="L3" s="16">
        <v>7</v>
      </c>
      <c r="M3" s="16">
        <v>8</v>
      </c>
      <c r="N3" s="16">
        <v>4</v>
      </c>
      <c r="O3" s="16">
        <v>4</v>
      </c>
      <c r="P3" s="16">
        <v>4</v>
      </c>
      <c r="Q3" s="16">
        <v>4.5</v>
      </c>
      <c r="R3" s="16">
        <v>3</v>
      </c>
      <c r="S3" s="16">
        <v>4.5</v>
      </c>
      <c r="T3" s="16">
        <v>4</v>
      </c>
      <c r="U3" s="16">
        <v>6</v>
      </c>
      <c r="V3" s="16">
        <v>4</v>
      </c>
      <c r="W3" s="16">
        <v>5</v>
      </c>
      <c r="X3" s="16">
        <v>6</v>
      </c>
      <c r="Y3" s="16"/>
      <c r="Z3" s="16">
        <v>4</v>
      </c>
      <c r="AA3" s="16">
        <v>6</v>
      </c>
      <c r="AB3" s="16">
        <v>6</v>
      </c>
      <c r="AC3" s="16">
        <v>7.6</v>
      </c>
      <c r="AD3" s="16">
        <v>5</v>
      </c>
      <c r="AE3" s="16">
        <v>3.5</v>
      </c>
      <c r="AF3" s="105"/>
      <c r="AG3" s="105"/>
      <c r="AH3" s="105"/>
      <c r="AI3" s="16">
        <v>4</v>
      </c>
      <c r="AJ3" s="16">
        <v>7</v>
      </c>
      <c r="AK3" s="16">
        <v>8.5</v>
      </c>
      <c r="AL3" s="16">
        <v>7.8</v>
      </c>
      <c r="AM3" s="16">
        <v>7.5</v>
      </c>
      <c r="AN3" s="16">
        <v>8</v>
      </c>
      <c r="AO3" s="17">
        <f t="shared" ref="AO3:AO41" si="0">SUM(D3:AN3)</f>
        <v>171.4</v>
      </c>
      <c r="AP3" s="65">
        <f t="shared" ref="AP3:AP41" si="1">AVERAGE(D3:AN3)</f>
        <v>5.1939393939393943</v>
      </c>
    </row>
    <row r="4" spans="1:42" ht="15.5" x14ac:dyDescent="0.35">
      <c r="A4" s="10">
        <f>'Data Siswa'!A4</f>
        <v>3</v>
      </c>
      <c r="B4" s="77" t="str">
        <f>'Data Siswa'!B4</f>
        <v>AHMAD FAJAR MUNAWWAR KHOLILY</v>
      </c>
      <c r="C4" s="10" t="str">
        <f>'Data Siswa'!C4</f>
        <v>0581</v>
      </c>
      <c r="D4" s="16">
        <v>4</v>
      </c>
      <c r="E4" s="16">
        <v>4</v>
      </c>
      <c r="F4" s="16">
        <v>4</v>
      </c>
      <c r="G4" s="16">
        <v>4.5</v>
      </c>
      <c r="H4" s="16">
        <v>4</v>
      </c>
      <c r="I4" s="16">
        <v>4.5</v>
      </c>
      <c r="J4" s="16">
        <v>4</v>
      </c>
      <c r="K4" s="16">
        <v>4</v>
      </c>
      <c r="L4" s="16">
        <v>7</v>
      </c>
      <c r="M4" s="16">
        <v>7.5</v>
      </c>
      <c r="N4" s="16">
        <v>5</v>
      </c>
      <c r="O4" s="16">
        <v>4</v>
      </c>
      <c r="P4" s="16">
        <v>4.5</v>
      </c>
      <c r="Q4" s="16">
        <v>5</v>
      </c>
      <c r="R4" s="16">
        <v>4</v>
      </c>
      <c r="S4" s="16">
        <v>4.5</v>
      </c>
      <c r="T4" s="16">
        <v>4</v>
      </c>
      <c r="U4" s="16">
        <v>6.5</v>
      </c>
      <c r="V4" s="16">
        <v>4</v>
      </c>
      <c r="W4" s="16">
        <v>5</v>
      </c>
      <c r="X4" s="16">
        <v>5</v>
      </c>
      <c r="Y4" s="16"/>
      <c r="Z4" s="16">
        <v>4</v>
      </c>
      <c r="AA4" s="16">
        <v>7</v>
      </c>
      <c r="AB4" s="16">
        <v>6</v>
      </c>
      <c r="AC4" s="16">
        <v>7.6</v>
      </c>
      <c r="AD4" s="16">
        <v>4</v>
      </c>
      <c r="AE4" s="16">
        <v>2.5</v>
      </c>
      <c r="AF4" s="105"/>
      <c r="AG4" s="105"/>
      <c r="AH4" s="105"/>
      <c r="AI4" s="16">
        <v>4.5</v>
      </c>
      <c r="AJ4" s="16">
        <v>7</v>
      </c>
      <c r="AK4" s="16">
        <v>7.6</v>
      </c>
      <c r="AL4" s="16">
        <v>7.9</v>
      </c>
      <c r="AM4" s="16">
        <v>7.5</v>
      </c>
      <c r="AN4" s="16">
        <v>8</v>
      </c>
      <c r="AO4" s="17">
        <f t="shared" si="0"/>
        <v>172.6</v>
      </c>
      <c r="AP4" s="65">
        <f t="shared" si="1"/>
        <v>5.2303030303030305</v>
      </c>
    </row>
    <row r="5" spans="1:42" ht="15.5" x14ac:dyDescent="0.35">
      <c r="A5" s="10">
        <f>'Data Siswa'!A5</f>
        <v>4</v>
      </c>
      <c r="B5" s="77" t="str">
        <f>'Data Siswa'!B5</f>
        <v>AJUN</v>
      </c>
      <c r="C5" s="10" t="str">
        <f>'Data Siswa'!C5</f>
        <v>0582</v>
      </c>
      <c r="D5" s="16">
        <v>4</v>
      </c>
      <c r="E5" s="16">
        <v>4</v>
      </c>
      <c r="F5" s="16">
        <v>4</v>
      </c>
      <c r="G5" s="16">
        <v>5</v>
      </c>
      <c r="H5" s="16">
        <v>4</v>
      </c>
      <c r="I5" s="16">
        <v>4.5</v>
      </c>
      <c r="J5" s="16">
        <v>4.5</v>
      </c>
      <c r="K5" s="16">
        <v>4.5</v>
      </c>
      <c r="L5" s="16">
        <v>7.5</v>
      </c>
      <c r="M5" s="16">
        <v>7.5</v>
      </c>
      <c r="N5" s="16">
        <v>5</v>
      </c>
      <c r="O5" s="16">
        <v>4</v>
      </c>
      <c r="P5" s="16">
        <v>4</v>
      </c>
      <c r="Q5" s="16">
        <v>5</v>
      </c>
      <c r="R5" s="16">
        <v>4</v>
      </c>
      <c r="S5" s="16">
        <v>5</v>
      </c>
      <c r="T5" s="16">
        <v>4</v>
      </c>
      <c r="U5" s="16">
        <v>6</v>
      </c>
      <c r="V5" s="16">
        <v>4.5</v>
      </c>
      <c r="W5" s="16">
        <v>5</v>
      </c>
      <c r="X5" s="16">
        <v>6.5</v>
      </c>
      <c r="Y5" s="16"/>
      <c r="Z5" s="16">
        <v>4</v>
      </c>
      <c r="AA5" s="16">
        <v>7</v>
      </c>
      <c r="AB5" s="16">
        <v>6</v>
      </c>
      <c r="AC5" s="16">
        <v>7.6</v>
      </c>
      <c r="AD5" s="16">
        <v>6</v>
      </c>
      <c r="AE5" s="16">
        <v>2</v>
      </c>
      <c r="AF5" s="105"/>
      <c r="AG5" s="105"/>
      <c r="AH5" s="105"/>
      <c r="AI5" s="16">
        <v>4.5</v>
      </c>
      <c r="AJ5" s="16">
        <v>7</v>
      </c>
      <c r="AK5" s="16">
        <v>7.8</v>
      </c>
      <c r="AL5" s="16">
        <v>7.9</v>
      </c>
      <c r="AM5" s="16">
        <v>7.5</v>
      </c>
      <c r="AN5" s="16">
        <v>8</v>
      </c>
      <c r="AO5" s="17">
        <f t="shared" si="0"/>
        <v>177.8</v>
      </c>
      <c r="AP5" s="65">
        <f t="shared" si="1"/>
        <v>5.3878787878787886</v>
      </c>
    </row>
    <row r="6" spans="1:42" ht="15.5" x14ac:dyDescent="0.35">
      <c r="A6" s="10">
        <f>'Data Siswa'!A6</f>
        <v>5</v>
      </c>
      <c r="B6" s="77" t="str">
        <f>'Data Siswa'!B6</f>
        <v>DIMAS NURPUTRAWAN</v>
      </c>
      <c r="C6" s="10" t="str">
        <f>'Data Siswa'!C6</f>
        <v>0583</v>
      </c>
      <c r="D6" s="16">
        <v>4</v>
      </c>
      <c r="E6" s="16">
        <v>4</v>
      </c>
      <c r="F6" s="16">
        <v>4</v>
      </c>
      <c r="G6" s="16">
        <v>5</v>
      </c>
      <c r="H6" s="16">
        <v>4</v>
      </c>
      <c r="I6" s="16">
        <v>4.5</v>
      </c>
      <c r="J6" s="16">
        <v>4</v>
      </c>
      <c r="K6" s="16">
        <v>4</v>
      </c>
      <c r="L6" s="16">
        <v>7</v>
      </c>
      <c r="M6" s="16">
        <v>7.5</v>
      </c>
      <c r="N6" s="16">
        <v>4.5</v>
      </c>
      <c r="O6" s="16">
        <v>4</v>
      </c>
      <c r="P6" s="16">
        <v>4</v>
      </c>
      <c r="Q6" s="16">
        <v>4</v>
      </c>
      <c r="R6" s="16">
        <v>4</v>
      </c>
      <c r="S6" s="16">
        <v>4.5</v>
      </c>
      <c r="T6" s="16">
        <v>4</v>
      </c>
      <c r="U6" s="16">
        <v>6</v>
      </c>
      <c r="V6" s="16">
        <v>4.5</v>
      </c>
      <c r="W6" s="16">
        <v>5</v>
      </c>
      <c r="X6" s="16">
        <v>5</v>
      </c>
      <c r="Y6" s="16"/>
      <c r="Z6" s="16">
        <v>4</v>
      </c>
      <c r="AA6" s="16">
        <v>7</v>
      </c>
      <c r="AB6" s="16">
        <v>6</v>
      </c>
      <c r="AC6" s="16">
        <v>7.6</v>
      </c>
      <c r="AD6" s="16">
        <v>4</v>
      </c>
      <c r="AE6" s="16">
        <v>2.5</v>
      </c>
      <c r="AF6" s="105"/>
      <c r="AG6" s="105"/>
      <c r="AH6" s="105"/>
      <c r="AI6" s="16">
        <v>4.5</v>
      </c>
      <c r="AJ6" s="16">
        <v>7</v>
      </c>
      <c r="AK6" s="16">
        <v>7.6</v>
      </c>
      <c r="AL6" s="16">
        <v>7.8</v>
      </c>
      <c r="AM6" s="16">
        <v>7.5</v>
      </c>
      <c r="AN6" s="16">
        <v>8</v>
      </c>
      <c r="AO6" s="17">
        <f t="shared" si="0"/>
        <v>171</v>
      </c>
      <c r="AP6" s="65">
        <f t="shared" si="1"/>
        <v>5.1818181818181817</v>
      </c>
    </row>
    <row r="7" spans="1:42" ht="15.5" x14ac:dyDescent="0.35">
      <c r="A7" s="10">
        <f>'Data Siswa'!A7</f>
        <v>6</v>
      </c>
      <c r="B7" s="77" t="str">
        <f>'Data Siswa'!B7</f>
        <v>FARES CHAIDAR HAMZAN</v>
      </c>
      <c r="C7" s="10" t="str">
        <f>'Data Siswa'!C7</f>
        <v>0584</v>
      </c>
      <c r="D7" s="16">
        <v>4</v>
      </c>
      <c r="E7" s="16">
        <v>4</v>
      </c>
      <c r="F7" s="16">
        <v>4</v>
      </c>
      <c r="G7" s="16">
        <v>4</v>
      </c>
      <c r="H7" s="16">
        <v>4</v>
      </c>
      <c r="I7" s="16">
        <v>4.5</v>
      </c>
      <c r="J7" s="16">
        <v>6.5</v>
      </c>
      <c r="K7" s="16">
        <v>4</v>
      </c>
      <c r="L7" s="16">
        <v>7</v>
      </c>
      <c r="M7" s="16">
        <v>8</v>
      </c>
      <c r="N7" s="16">
        <v>5</v>
      </c>
      <c r="O7" s="16">
        <v>4</v>
      </c>
      <c r="P7" s="16">
        <v>5</v>
      </c>
      <c r="Q7" s="16">
        <v>4.5</v>
      </c>
      <c r="R7" s="16">
        <v>4</v>
      </c>
      <c r="S7" s="16">
        <v>5</v>
      </c>
      <c r="T7" s="16">
        <v>4</v>
      </c>
      <c r="U7" s="16">
        <v>6</v>
      </c>
      <c r="V7" s="16">
        <v>4</v>
      </c>
      <c r="W7" s="16">
        <v>5</v>
      </c>
      <c r="X7" s="16">
        <v>5.5</v>
      </c>
      <c r="Y7" s="16"/>
      <c r="Z7" s="16">
        <v>4</v>
      </c>
      <c r="AA7" s="16">
        <v>7</v>
      </c>
      <c r="AB7" s="16">
        <v>6</v>
      </c>
      <c r="AC7" s="16">
        <v>7.6</v>
      </c>
      <c r="AD7" s="16">
        <v>4.5</v>
      </c>
      <c r="AE7" s="16">
        <v>3.5</v>
      </c>
      <c r="AF7" s="105"/>
      <c r="AG7" s="105"/>
      <c r="AH7" s="105"/>
      <c r="AI7" s="16">
        <v>5</v>
      </c>
      <c r="AJ7" s="16">
        <v>7</v>
      </c>
      <c r="AK7" s="16">
        <v>7.6</v>
      </c>
      <c r="AL7" s="16">
        <v>8</v>
      </c>
      <c r="AM7" s="16">
        <v>7.5</v>
      </c>
      <c r="AN7" s="16">
        <v>8</v>
      </c>
      <c r="AO7" s="17">
        <f t="shared" si="0"/>
        <v>177.7</v>
      </c>
      <c r="AP7" s="65">
        <f t="shared" si="1"/>
        <v>5.3848484848484848</v>
      </c>
    </row>
    <row r="8" spans="1:42" ht="15.5" x14ac:dyDescent="0.35">
      <c r="A8" s="10">
        <f>'Data Siswa'!A8</f>
        <v>7</v>
      </c>
      <c r="B8" s="77" t="str">
        <f>'Data Siswa'!B8</f>
        <v>FAUZAN IQBAL MAULANA</v>
      </c>
      <c r="C8" s="10" t="str">
        <f>'Data Siswa'!C8</f>
        <v>0585</v>
      </c>
      <c r="D8" s="16">
        <v>4.5</v>
      </c>
      <c r="E8" s="16">
        <v>4</v>
      </c>
      <c r="F8" s="16">
        <v>4</v>
      </c>
      <c r="G8" s="16">
        <v>4</v>
      </c>
      <c r="H8" s="16">
        <v>4</v>
      </c>
      <c r="I8" s="16">
        <v>4.5</v>
      </c>
      <c r="J8" s="16">
        <v>7</v>
      </c>
      <c r="K8" s="16">
        <v>4.5</v>
      </c>
      <c r="L8" s="16">
        <v>7</v>
      </c>
      <c r="M8" s="16">
        <v>8</v>
      </c>
      <c r="N8" s="16">
        <v>5</v>
      </c>
      <c r="O8" s="16">
        <v>4</v>
      </c>
      <c r="P8" s="16">
        <v>4</v>
      </c>
      <c r="Q8" s="16">
        <v>4.5</v>
      </c>
      <c r="R8" s="16">
        <v>4</v>
      </c>
      <c r="S8" s="16">
        <v>6</v>
      </c>
      <c r="T8" s="16">
        <v>4.5</v>
      </c>
      <c r="U8" s="16">
        <v>7</v>
      </c>
      <c r="V8" s="16">
        <v>4</v>
      </c>
      <c r="W8" s="16">
        <v>7</v>
      </c>
      <c r="X8" s="16">
        <v>5.5</v>
      </c>
      <c r="Y8" s="16"/>
      <c r="Z8" s="16">
        <v>4</v>
      </c>
      <c r="AA8" s="16">
        <v>7</v>
      </c>
      <c r="AB8" s="16">
        <v>6</v>
      </c>
      <c r="AC8" s="16">
        <v>7.6</v>
      </c>
      <c r="AD8" s="16">
        <v>5.5</v>
      </c>
      <c r="AE8" s="16">
        <v>3</v>
      </c>
      <c r="AF8" s="105"/>
      <c r="AG8" s="105"/>
      <c r="AH8" s="105"/>
      <c r="AI8" s="16">
        <v>5</v>
      </c>
      <c r="AJ8" s="16">
        <v>7.5</v>
      </c>
      <c r="AK8" s="16">
        <v>7.8</v>
      </c>
      <c r="AL8" s="16">
        <v>8</v>
      </c>
      <c r="AM8" s="16">
        <v>8</v>
      </c>
      <c r="AN8" s="16">
        <v>8</v>
      </c>
      <c r="AO8" s="17">
        <f t="shared" si="0"/>
        <v>184.4</v>
      </c>
      <c r="AP8" s="65">
        <f t="shared" si="1"/>
        <v>5.5878787878787879</v>
      </c>
    </row>
    <row r="9" spans="1:42" ht="15.5" x14ac:dyDescent="0.35">
      <c r="A9" s="10">
        <f>'Data Siswa'!A9</f>
        <v>8</v>
      </c>
      <c r="B9" s="77" t="str">
        <f>'Data Siswa'!B9</f>
        <v>HAFIEZD ARYANSYAH RAMADAN</v>
      </c>
      <c r="C9" s="10" t="str">
        <f>'Data Siswa'!C9</f>
        <v>0586</v>
      </c>
      <c r="D9" s="16">
        <v>4</v>
      </c>
      <c r="E9" s="16">
        <v>4</v>
      </c>
      <c r="F9" s="16">
        <v>4</v>
      </c>
      <c r="G9" s="16">
        <v>5</v>
      </c>
      <c r="H9" s="16">
        <v>4</v>
      </c>
      <c r="I9" s="16">
        <v>4.5</v>
      </c>
      <c r="J9" s="16">
        <v>4</v>
      </c>
      <c r="K9" s="16">
        <v>4</v>
      </c>
      <c r="L9" s="16">
        <v>7</v>
      </c>
      <c r="M9" s="16">
        <v>7.5</v>
      </c>
      <c r="N9" s="16">
        <v>4</v>
      </c>
      <c r="O9" s="16">
        <v>4</v>
      </c>
      <c r="P9" s="16">
        <v>4.5</v>
      </c>
      <c r="Q9" s="16">
        <v>4.5</v>
      </c>
      <c r="R9" s="16">
        <v>4</v>
      </c>
      <c r="S9" s="16">
        <v>5</v>
      </c>
      <c r="T9" s="16">
        <v>4</v>
      </c>
      <c r="U9" s="16">
        <v>6.5</v>
      </c>
      <c r="V9" s="16">
        <v>4</v>
      </c>
      <c r="W9" s="16">
        <v>4.5</v>
      </c>
      <c r="X9" s="16">
        <v>5</v>
      </c>
      <c r="Y9" s="16"/>
      <c r="Z9" s="16">
        <v>4</v>
      </c>
      <c r="AA9" s="16">
        <v>7</v>
      </c>
      <c r="AB9" s="16">
        <v>6</v>
      </c>
      <c r="AC9" s="16">
        <v>7.6</v>
      </c>
      <c r="AD9" s="16">
        <v>4.5</v>
      </c>
      <c r="AE9" s="16">
        <v>3</v>
      </c>
      <c r="AF9" s="105"/>
      <c r="AG9" s="105"/>
      <c r="AH9" s="105"/>
      <c r="AI9" s="16">
        <v>4.5</v>
      </c>
      <c r="AJ9" s="16">
        <v>7.5</v>
      </c>
      <c r="AK9" s="16">
        <v>7.8</v>
      </c>
      <c r="AL9" s="16">
        <v>8.1</v>
      </c>
      <c r="AM9" s="16">
        <v>8</v>
      </c>
      <c r="AN9" s="16">
        <v>8</v>
      </c>
      <c r="AO9" s="17">
        <f t="shared" si="0"/>
        <v>174</v>
      </c>
      <c r="AP9" s="65">
        <f t="shared" si="1"/>
        <v>5.2727272727272725</v>
      </c>
    </row>
    <row r="10" spans="1:42" ht="15.5" x14ac:dyDescent="0.35">
      <c r="A10" s="10">
        <f>'Data Siswa'!A10</f>
        <v>9</v>
      </c>
      <c r="B10" s="77" t="str">
        <f>'Data Siswa'!B10</f>
        <v>HILDAN FAUZI</v>
      </c>
      <c r="C10" s="10" t="str">
        <f>'Data Siswa'!C10</f>
        <v>0587</v>
      </c>
      <c r="D10" s="16">
        <v>4</v>
      </c>
      <c r="E10" s="16">
        <v>4</v>
      </c>
      <c r="F10" s="16">
        <v>4</v>
      </c>
      <c r="G10" s="16">
        <v>4.5</v>
      </c>
      <c r="H10" s="16">
        <v>4</v>
      </c>
      <c r="I10" s="16">
        <v>4.5</v>
      </c>
      <c r="J10" s="16">
        <v>6</v>
      </c>
      <c r="K10" s="16">
        <v>4</v>
      </c>
      <c r="L10" s="16">
        <v>7</v>
      </c>
      <c r="M10" s="16">
        <v>8</v>
      </c>
      <c r="N10" s="16">
        <v>5.5</v>
      </c>
      <c r="O10" s="16">
        <v>4</v>
      </c>
      <c r="P10" s="16">
        <v>5</v>
      </c>
      <c r="Q10" s="16">
        <v>6</v>
      </c>
      <c r="R10" s="16">
        <v>6</v>
      </c>
      <c r="S10" s="16">
        <v>5</v>
      </c>
      <c r="T10" s="16">
        <v>4</v>
      </c>
      <c r="U10" s="16">
        <v>6</v>
      </c>
      <c r="V10" s="16">
        <v>4.5</v>
      </c>
      <c r="W10" s="16">
        <v>5</v>
      </c>
      <c r="X10" s="16">
        <v>5.5</v>
      </c>
      <c r="Y10" s="16"/>
      <c r="Z10" s="16">
        <v>4</v>
      </c>
      <c r="AA10" s="16">
        <v>7</v>
      </c>
      <c r="AB10" s="16">
        <v>6</v>
      </c>
      <c r="AC10" s="16">
        <v>7.6</v>
      </c>
      <c r="AD10" s="16">
        <v>6</v>
      </c>
      <c r="AE10" s="16">
        <v>3</v>
      </c>
      <c r="AF10" s="105"/>
      <c r="AG10" s="105"/>
      <c r="AH10" s="105"/>
      <c r="AI10" s="16">
        <v>4.5</v>
      </c>
      <c r="AJ10" s="16">
        <v>8</v>
      </c>
      <c r="AK10" s="16">
        <v>7.6</v>
      </c>
      <c r="AL10" s="16">
        <v>7.9</v>
      </c>
      <c r="AM10" s="16">
        <v>7.5</v>
      </c>
      <c r="AN10" s="16">
        <v>8</v>
      </c>
      <c r="AO10" s="17">
        <f t="shared" si="0"/>
        <v>183.6</v>
      </c>
      <c r="AP10" s="65">
        <f t="shared" si="1"/>
        <v>5.5636363636363635</v>
      </c>
    </row>
    <row r="11" spans="1:42" ht="15.5" x14ac:dyDescent="0.35">
      <c r="A11" s="10">
        <f>'Data Siswa'!A11</f>
        <v>10</v>
      </c>
      <c r="B11" s="77" t="str">
        <f>'Data Siswa'!B11</f>
        <v>JEFRI FAJAR ALFIAN</v>
      </c>
      <c r="C11" s="10" t="str">
        <f>'Data Siswa'!C11</f>
        <v>0588</v>
      </c>
      <c r="D11" s="16">
        <v>4</v>
      </c>
      <c r="E11" s="16">
        <v>4</v>
      </c>
      <c r="F11" s="16">
        <v>4</v>
      </c>
      <c r="G11" s="16">
        <v>5</v>
      </c>
      <c r="H11" s="16">
        <v>4</v>
      </c>
      <c r="I11" s="16">
        <v>4</v>
      </c>
      <c r="J11" s="16">
        <v>4</v>
      </c>
      <c r="K11" s="16">
        <v>4</v>
      </c>
      <c r="L11" s="16">
        <v>7</v>
      </c>
      <c r="M11" s="16">
        <v>7.5</v>
      </c>
      <c r="N11" s="16">
        <v>4</v>
      </c>
      <c r="O11" s="16">
        <v>4</v>
      </c>
      <c r="P11" s="16">
        <v>4</v>
      </c>
      <c r="Q11" s="16">
        <v>4.5</v>
      </c>
      <c r="R11" s="16">
        <v>4</v>
      </c>
      <c r="S11" s="16">
        <v>4.5</v>
      </c>
      <c r="T11" s="16">
        <v>4</v>
      </c>
      <c r="U11" s="16">
        <v>6</v>
      </c>
      <c r="V11" s="16">
        <v>4</v>
      </c>
      <c r="W11" s="16">
        <v>4.5</v>
      </c>
      <c r="X11" s="16">
        <v>5.5</v>
      </c>
      <c r="Y11" s="16"/>
      <c r="Z11" s="16">
        <v>4</v>
      </c>
      <c r="AA11" s="16">
        <v>7</v>
      </c>
      <c r="AB11" s="16">
        <v>6</v>
      </c>
      <c r="AC11" s="16">
        <v>7.6</v>
      </c>
      <c r="AD11" s="16">
        <v>5.5</v>
      </c>
      <c r="AE11" s="16">
        <v>3</v>
      </c>
      <c r="AF11" s="105"/>
      <c r="AG11" s="105"/>
      <c r="AH11" s="105"/>
      <c r="AI11" s="16">
        <v>4</v>
      </c>
      <c r="AJ11" s="16">
        <v>7.5</v>
      </c>
      <c r="AK11" s="16">
        <v>7.7</v>
      </c>
      <c r="AL11" s="16">
        <v>7.8</v>
      </c>
      <c r="AM11" s="16">
        <v>8</v>
      </c>
      <c r="AN11" s="16">
        <v>8</v>
      </c>
      <c r="AO11" s="17">
        <f t="shared" si="0"/>
        <v>172.6</v>
      </c>
      <c r="AP11" s="65">
        <f t="shared" si="1"/>
        <v>5.2303030303030305</v>
      </c>
    </row>
    <row r="12" spans="1:42" ht="15.5" x14ac:dyDescent="0.35">
      <c r="A12" s="10">
        <f>'Data Siswa'!A12</f>
        <v>11</v>
      </c>
      <c r="B12" s="77" t="str">
        <f>'Data Siswa'!B12</f>
        <v>M. FAREL FAUZA ADITYA</v>
      </c>
      <c r="C12" s="10" t="str">
        <f>'Data Siswa'!C12</f>
        <v>0589</v>
      </c>
      <c r="D12" s="16">
        <v>4</v>
      </c>
      <c r="E12" s="16">
        <v>4</v>
      </c>
      <c r="F12" s="16">
        <v>4.5</v>
      </c>
      <c r="G12" s="16">
        <v>4</v>
      </c>
      <c r="H12" s="16">
        <v>4.5</v>
      </c>
      <c r="I12" s="16">
        <v>5</v>
      </c>
      <c r="J12" s="16">
        <v>6.5</v>
      </c>
      <c r="K12" s="16">
        <v>5.5</v>
      </c>
      <c r="L12" s="16">
        <v>7</v>
      </c>
      <c r="M12" s="16">
        <v>8</v>
      </c>
      <c r="N12" s="16">
        <v>4.5</v>
      </c>
      <c r="O12" s="16">
        <v>4</v>
      </c>
      <c r="P12" s="16">
        <v>5.5</v>
      </c>
      <c r="Q12" s="16">
        <v>5.5</v>
      </c>
      <c r="R12" s="16">
        <v>5</v>
      </c>
      <c r="S12" s="16">
        <v>5</v>
      </c>
      <c r="T12" s="16">
        <v>4.5</v>
      </c>
      <c r="U12" s="16">
        <v>8</v>
      </c>
      <c r="V12" s="16">
        <v>6</v>
      </c>
      <c r="W12" s="16">
        <v>5</v>
      </c>
      <c r="X12" s="16">
        <v>5</v>
      </c>
      <c r="Y12" s="16"/>
      <c r="Z12" s="16">
        <v>4</v>
      </c>
      <c r="AA12" s="16">
        <v>7</v>
      </c>
      <c r="AB12" s="16">
        <v>6</v>
      </c>
      <c r="AC12" s="16">
        <v>7.6</v>
      </c>
      <c r="AD12" s="16">
        <v>7</v>
      </c>
      <c r="AE12" s="16">
        <v>2.5</v>
      </c>
      <c r="AF12" s="105"/>
      <c r="AG12" s="105"/>
      <c r="AH12" s="105"/>
      <c r="AI12" s="16">
        <v>7</v>
      </c>
      <c r="AJ12" s="16">
        <v>7.5</v>
      </c>
      <c r="AK12" s="16">
        <v>7.9</v>
      </c>
      <c r="AL12" s="16">
        <v>7.8</v>
      </c>
      <c r="AM12" s="16">
        <v>7.5</v>
      </c>
      <c r="AN12" s="16">
        <v>8</v>
      </c>
      <c r="AO12" s="17">
        <f t="shared" si="0"/>
        <v>190.8</v>
      </c>
      <c r="AP12" s="65">
        <f t="shared" si="1"/>
        <v>5.7818181818181822</v>
      </c>
    </row>
    <row r="13" spans="1:42" ht="15.5" x14ac:dyDescent="0.35">
      <c r="A13" s="10">
        <f>'Data Siswa'!A13</f>
        <v>12</v>
      </c>
      <c r="B13" s="77" t="str">
        <f>'Data Siswa'!B13</f>
        <v>MUHAMAD RAIFAN SIDIQ</v>
      </c>
      <c r="C13" s="10" t="str">
        <f>'Data Siswa'!C13</f>
        <v>0590</v>
      </c>
      <c r="D13" s="16">
        <v>4</v>
      </c>
      <c r="E13" s="16">
        <v>4</v>
      </c>
      <c r="F13" s="16">
        <v>4</v>
      </c>
      <c r="G13" s="16">
        <v>4</v>
      </c>
      <c r="H13" s="16">
        <v>4</v>
      </c>
      <c r="I13" s="16">
        <v>4.5</v>
      </c>
      <c r="J13" s="16">
        <v>5</v>
      </c>
      <c r="K13" s="16">
        <v>5</v>
      </c>
      <c r="L13" s="16">
        <v>7</v>
      </c>
      <c r="M13" s="16">
        <v>8</v>
      </c>
      <c r="N13" s="16">
        <v>5</v>
      </c>
      <c r="O13" s="16">
        <v>4</v>
      </c>
      <c r="P13" s="16">
        <v>4.5</v>
      </c>
      <c r="Q13" s="16">
        <v>6</v>
      </c>
      <c r="R13" s="16">
        <v>5</v>
      </c>
      <c r="S13" s="16">
        <v>5</v>
      </c>
      <c r="T13" s="16">
        <v>4</v>
      </c>
      <c r="U13" s="16">
        <v>6</v>
      </c>
      <c r="V13" s="16">
        <v>5.5</v>
      </c>
      <c r="W13" s="16">
        <v>5</v>
      </c>
      <c r="X13" s="16">
        <v>5</v>
      </c>
      <c r="Y13" s="16"/>
      <c r="Z13" s="16">
        <v>4</v>
      </c>
      <c r="AA13" s="16">
        <v>7</v>
      </c>
      <c r="AB13" s="16">
        <v>6</v>
      </c>
      <c r="AC13" s="16">
        <v>7.6</v>
      </c>
      <c r="AD13" s="16">
        <v>5.5</v>
      </c>
      <c r="AE13" s="16">
        <v>3</v>
      </c>
      <c r="AF13" s="105"/>
      <c r="AG13" s="105"/>
      <c r="AH13" s="105"/>
      <c r="AI13" s="16">
        <v>4</v>
      </c>
      <c r="AJ13" s="16">
        <v>7</v>
      </c>
      <c r="AK13" s="16">
        <v>7.6</v>
      </c>
      <c r="AL13" s="16">
        <v>7.9</v>
      </c>
      <c r="AM13" s="16">
        <v>7.5</v>
      </c>
      <c r="AN13" s="16">
        <v>8</v>
      </c>
      <c r="AO13" s="17">
        <f t="shared" si="0"/>
        <v>179.6</v>
      </c>
      <c r="AP13" s="65">
        <f t="shared" si="1"/>
        <v>5.4424242424242424</v>
      </c>
    </row>
    <row r="14" spans="1:42" ht="15.5" x14ac:dyDescent="0.35">
      <c r="A14" s="10">
        <f>'Data Siswa'!A14</f>
        <v>13</v>
      </c>
      <c r="B14" s="77" t="str">
        <f>'Data Siswa'!B14</f>
        <v>MUHAMAD RIZKI</v>
      </c>
      <c r="C14" s="10" t="str">
        <f>'Data Siswa'!C14</f>
        <v>0591</v>
      </c>
      <c r="D14" s="16">
        <v>4</v>
      </c>
      <c r="E14" s="16">
        <v>4</v>
      </c>
      <c r="F14" s="16">
        <v>4</v>
      </c>
      <c r="G14" s="16">
        <v>4</v>
      </c>
      <c r="H14" s="16">
        <v>4</v>
      </c>
      <c r="I14" s="16">
        <v>4.5</v>
      </c>
      <c r="J14" s="16">
        <v>5.5</v>
      </c>
      <c r="K14" s="16">
        <v>5</v>
      </c>
      <c r="L14" s="16">
        <v>7</v>
      </c>
      <c r="M14" s="16">
        <v>8</v>
      </c>
      <c r="N14" s="16">
        <v>5</v>
      </c>
      <c r="O14" s="16">
        <v>4</v>
      </c>
      <c r="P14" s="16">
        <v>5</v>
      </c>
      <c r="Q14" s="16">
        <v>5</v>
      </c>
      <c r="R14" s="16">
        <v>4</v>
      </c>
      <c r="S14" s="16">
        <v>5</v>
      </c>
      <c r="T14" s="16">
        <v>4</v>
      </c>
      <c r="U14" s="16">
        <v>7</v>
      </c>
      <c r="V14" s="16">
        <v>5.5</v>
      </c>
      <c r="W14" s="16">
        <v>4.5</v>
      </c>
      <c r="X14" s="16">
        <v>5</v>
      </c>
      <c r="Y14" s="16"/>
      <c r="Z14" s="16">
        <v>4</v>
      </c>
      <c r="AA14" s="16">
        <v>7</v>
      </c>
      <c r="AB14" s="16">
        <v>6</v>
      </c>
      <c r="AC14" s="16">
        <v>7.6</v>
      </c>
      <c r="AD14" s="16">
        <v>4</v>
      </c>
      <c r="AE14" s="16">
        <v>3</v>
      </c>
      <c r="AF14" s="105"/>
      <c r="AG14" s="105"/>
      <c r="AH14" s="105"/>
      <c r="AI14" s="16">
        <v>6</v>
      </c>
      <c r="AJ14" s="16">
        <v>7</v>
      </c>
      <c r="AK14" s="16">
        <v>7.8</v>
      </c>
      <c r="AL14" s="16">
        <v>8</v>
      </c>
      <c r="AM14" s="16">
        <v>7.5</v>
      </c>
      <c r="AN14" s="16">
        <v>8</v>
      </c>
      <c r="AO14" s="17">
        <f t="shared" si="0"/>
        <v>179.9</v>
      </c>
      <c r="AP14" s="65">
        <f t="shared" si="1"/>
        <v>5.4515151515151521</v>
      </c>
    </row>
    <row r="15" spans="1:42" ht="15.5" x14ac:dyDescent="0.35">
      <c r="A15" s="10">
        <f>'Data Siswa'!A15</f>
        <v>14</v>
      </c>
      <c r="B15" s="77" t="str">
        <f>'Data Siswa'!B15</f>
        <v>MUHAMAD SYAHRUL BUDIMAN</v>
      </c>
      <c r="C15" s="10" t="str">
        <f>'Data Siswa'!C15</f>
        <v>0592</v>
      </c>
      <c r="D15" s="16">
        <v>4</v>
      </c>
      <c r="E15" s="16">
        <v>4</v>
      </c>
      <c r="F15" s="16">
        <v>4</v>
      </c>
      <c r="G15" s="16">
        <v>4.5</v>
      </c>
      <c r="H15" s="16">
        <v>4</v>
      </c>
      <c r="I15" s="16">
        <v>4.5</v>
      </c>
      <c r="J15" s="16">
        <v>5.5</v>
      </c>
      <c r="K15" s="16">
        <v>5</v>
      </c>
      <c r="L15" s="16">
        <v>7</v>
      </c>
      <c r="M15" s="16">
        <v>8.5</v>
      </c>
      <c r="N15" s="16">
        <v>6</v>
      </c>
      <c r="O15" s="16">
        <v>4</v>
      </c>
      <c r="P15" s="16">
        <v>4</v>
      </c>
      <c r="Q15" s="16">
        <v>5</v>
      </c>
      <c r="R15" s="16">
        <v>4</v>
      </c>
      <c r="S15" s="16">
        <v>5</v>
      </c>
      <c r="T15" s="16">
        <v>4</v>
      </c>
      <c r="U15" s="16">
        <v>6.5</v>
      </c>
      <c r="V15" s="16">
        <v>4</v>
      </c>
      <c r="W15" s="16">
        <v>5</v>
      </c>
      <c r="X15" s="16">
        <v>5.5</v>
      </c>
      <c r="Y15" s="16"/>
      <c r="Z15" s="16">
        <v>4</v>
      </c>
      <c r="AA15" s="16">
        <v>7</v>
      </c>
      <c r="AB15" s="16">
        <v>6</v>
      </c>
      <c r="AC15" s="16">
        <v>7.6</v>
      </c>
      <c r="AD15" s="16">
        <v>4.5</v>
      </c>
      <c r="AE15" s="16">
        <v>3</v>
      </c>
      <c r="AF15" s="105"/>
      <c r="AG15" s="105"/>
      <c r="AH15" s="105"/>
      <c r="AI15" s="16">
        <v>4</v>
      </c>
      <c r="AJ15" s="16">
        <v>7</v>
      </c>
      <c r="AK15" s="16">
        <v>7.6</v>
      </c>
      <c r="AL15" s="16">
        <v>7.9</v>
      </c>
      <c r="AM15" s="16">
        <v>8</v>
      </c>
      <c r="AN15" s="16">
        <v>8</v>
      </c>
      <c r="AO15" s="17">
        <f t="shared" si="0"/>
        <v>178.6</v>
      </c>
      <c r="AP15" s="65">
        <f t="shared" si="1"/>
        <v>5.4121212121212121</v>
      </c>
    </row>
    <row r="16" spans="1:42" ht="15.5" x14ac:dyDescent="0.35">
      <c r="A16" s="10">
        <f>'Data Siswa'!A16</f>
        <v>15</v>
      </c>
      <c r="B16" s="77" t="str">
        <f>'Data Siswa'!B16</f>
        <v>MUHAMAD WILDAN WIBISONO</v>
      </c>
      <c r="C16" s="10" t="str">
        <f>'Data Siswa'!C16</f>
        <v>0593</v>
      </c>
      <c r="D16" s="16">
        <v>4</v>
      </c>
      <c r="E16" s="16">
        <v>7.5</v>
      </c>
      <c r="F16" s="16">
        <v>4</v>
      </c>
      <c r="G16" s="16">
        <v>4.5</v>
      </c>
      <c r="H16" s="16">
        <v>4</v>
      </c>
      <c r="I16" s="16">
        <v>4.5</v>
      </c>
      <c r="J16" s="16">
        <v>6.5</v>
      </c>
      <c r="K16" s="16">
        <v>5.5</v>
      </c>
      <c r="L16" s="16">
        <v>7</v>
      </c>
      <c r="M16" s="16">
        <v>7.5</v>
      </c>
      <c r="N16" s="16">
        <v>6</v>
      </c>
      <c r="O16" s="16">
        <v>4</v>
      </c>
      <c r="P16" s="16">
        <v>4</v>
      </c>
      <c r="Q16" s="16">
        <v>7.5</v>
      </c>
      <c r="R16" s="16">
        <v>4</v>
      </c>
      <c r="S16" s="16">
        <v>5</v>
      </c>
      <c r="T16" s="16">
        <v>5</v>
      </c>
      <c r="U16" s="16">
        <v>7.5</v>
      </c>
      <c r="V16" s="16">
        <v>5.5</v>
      </c>
      <c r="W16" s="16">
        <v>7</v>
      </c>
      <c r="X16" s="16">
        <v>5.5</v>
      </c>
      <c r="Y16" s="16"/>
      <c r="Z16" s="16">
        <v>4</v>
      </c>
      <c r="AA16" s="16">
        <v>7</v>
      </c>
      <c r="AB16" s="16">
        <v>6</v>
      </c>
      <c r="AC16" s="16">
        <v>7.6</v>
      </c>
      <c r="AD16" s="16">
        <v>7</v>
      </c>
      <c r="AE16" s="16">
        <v>3</v>
      </c>
      <c r="AF16" s="105"/>
      <c r="AG16" s="105"/>
      <c r="AH16" s="105"/>
      <c r="AI16" s="16">
        <v>4</v>
      </c>
      <c r="AJ16" s="16">
        <v>7.5</v>
      </c>
      <c r="AK16" s="16">
        <v>7.6</v>
      </c>
      <c r="AL16" s="16">
        <v>8.1999999999999993</v>
      </c>
      <c r="AM16" s="16">
        <v>8</v>
      </c>
      <c r="AN16" s="16">
        <v>8</v>
      </c>
      <c r="AO16" s="17">
        <f t="shared" si="0"/>
        <v>193.89999999999998</v>
      </c>
      <c r="AP16" s="65">
        <f t="shared" si="1"/>
        <v>5.8757575757575751</v>
      </c>
    </row>
    <row r="17" spans="1:42" ht="15.5" x14ac:dyDescent="0.35">
      <c r="A17" s="10">
        <f>'Data Siswa'!A17</f>
        <v>16</v>
      </c>
      <c r="B17" s="77" t="str">
        <f>'Data Siswa'!B17</f>
        <v>MUHAMMAD AGIL LAHAM</v>
      </c>
      <c r="C17" s="10" t="str">
        <f>'Data Siswa'!C17</f>
        <v>0594</v>
      </c>
      <c r="D17" s="16">
        <v>4.5</v>
      </c>
      <c r="E17" s="16">
        <v>4</v>
      </c>
      <c r="F17" s="16">
        <v>4</v>
      </c>
      <c r="G17" s="16">
        <v>4</v>
      </c>
      <c r="H17" s="16">
        <v>4</v>
      </c>
      <c r="I17" s="16">
        <v>4.5</v>
      </c>
      <c r="J17" s="16">
        <v>8</v>
      </c>
      <c r="K17" s="16">
        <v>5.5</v>
      </c>
      <c r="L17" s="16">
        <v>7</v>
      </c>
      <c r="M17" s="16">
        <v>8</v>
      </c>
      <c r="N17" s="16">
        <v>5</v>
      </c>
      <c r="O17" s="16">
        <v>4</v>
      </c>
      <c r="P17" s="16">
        <v>4</v>
      </c>
      <c r="Q17" s="16">
        <v>7</v>
      </c>
      <c r="R17" s="16">
        <v>4</v>
      </c>
      <c r="S17" s="16">
        <v>5</v>
      </c>
      <c r="T17" s="16">
        <v>4</v>
      </c>
      <c r="U17" s="16">
        <v>7.5</v>
      </c>
      <c r="V17" s="16">
        <v>5.5</v>
      </c>
      <c r="W17" s="16">
        <v>5</v>
      </c>
      <c r="X17" s="16">
        <v>5</v>
      </c>
      <c r="Y17" s="16"/>
      <c r="Z17" s="16">
        <v>4</v>
      </c>
      <c r="AA17" s="16">
        <v>7</v>
      </c>
      <c r="AB17" s="16">
        <v>6</v>
      </c>
      <c r="AC17" s="16">
        <v>7.6</v>
      </c>
      <c r="AD17" s="16">
        <v>6</v>
      </c>
      <c r="AE17" s="16">
        <v>3</v>
      </c>
      <c r="AF17" s="105"/>
      <c r="AG17" s="105"/>
      <c r="AH17" s="105"/>
      <c r="AI17" s="16">
        <v>4</v>
      </c>
      <c r="AJ17" s="16">
        <v>8</v>
      </c>
      <c r="AK17" s="16">
        <v>7.8</v>
      </c>
      <c r="AL17" s="16">
        <v>7.8</v>
      </c>
      <c r="AM17" s="16">
        <v>8.5</v>
      </c>
      <c r="AN17" s="16">
        <v>8</v>
      </c>
      <c r="AO17" s="17">
        <f t="shared" si="0"/>
        <v>187.20000000000002</v>
      </c>
      <c r="AP17" s="65">
        <f t="shared" si="1"/>
        <v>5.6727272727272728</v>
      </c>
    </row>
    <row r="18" spans="1:42" ht="15.5" x14ac:dyDescent="0.35">
      <c r="A18" s="10">
        <f>'Data Siswa'!A18</f>
        <v>17</v>
      </c>
      <c r="B18" s="77" t="str">
        <f>'Data Siswa'!B18</f>
        <v>MUHAMMAD ASSRORI</v>
      </c>
      <c r="C18" s="10" t="str">
        <f>'Data Siswa'!C18</f>
        <v>0595</v>
      </c>
      <c r="D18" s="16">
        <v>4</v>
      </c>
      <c r="E18" s="16">
        <v>4</v>
      </c>
      <c r="F18" s="16">
        <v>4</v>
      </c>
      <c r="G18" s="16">
        <v>5</v>
      </c>
      <c r="H18" s="16">
        <v>4</v>
      </c>
      <c r="I18" s="16">
        <v>5</v>
      </c>
      <c r="J18" s="16">
        <v>7</v>
      </c>
      <c r="K18" s="16">
        <v>5.5</v>
      </c>
      <c r="L18" s="16">
        <v>7</v>
      </c>
      <c r="M18" s="16">
        <v>7.5</v>
      </c>
      <c r="N18" s="16">
        <v>6</v>
      </c>
      <c r="O18" s="16">
        <v>4</v>
      </c>
      <c r="P18" s="16">
        <v>4.5</v>
      </c>
      <c r="Q18" s="16">
        <v>7</v>
      </c>
      <c r="R18" s="16">
        <v>5</v>
      </c>
      <c r="S18" s="16">
        <v>5</v>
      </c>
      <c r="T18" s="16">
        <v>4</v>
      </c>
      <c r="U18" s="16">
        <v>6.5</v>
      </c>
      <c r="V18" s="16">
        <v>4</v>
      </c>
      <c r="W18" s="16">
        <v>5</v>
      </c>
      <c r="X18" s="16">
        <v>5.5</v>
      </c>
      <c r="Y18" s="16"/>
      <c r="Z18" s="16">
        <v>4</v>
      </c>
      <c r="AA18" s="16">
        <v>7</v>
      </c>
      <c r="AB18" s="16">
        <v>6</v>
      </c>
      <c r="AC18" s="16">
        <v>7.6</v>
      </c>
      <c r="AD18" s="16">
        <v>4</v>
      </c>
      <c r="AE18" s="16">
        <v>2.5</v>
      </c>
      <c r="AF18" s="105"/>
      <c r="AG18" s="105"/>
      <c r="AH18" s="105"/>
      <c r="AI18" s="16">
        <v>5</v>
      </c>
      <c r="AJ18" s="16">
        <v>7</v>
      </c>
      <c r="AK18" s="16">
        <v>7.6</v>
      </c>
      <c r="AL18" s="16">
        <v>7.8</v>
      </c>
      <c r="AM18" s="16">
        <v>7.5</v>
      </c>
      <c r="AN18" s="16">
        <v>8</v>
      </c>
      <c r="AO18" s="17">
        <f t="shared" si="0"/>
        <v>183.5</v>
      </c>
      <c r="AP18" s="65">
        <f t="shared" si="1"/>
        <v>5.5606060606060606</v>
      </c>
    </row>
    <row r="19" spans="1:42" ht="15.5" x14ac:dyDescent="0.35">
      <c r="A19" s="10">
        <f>'Data Siswa'!A19</f>
        <v>18</v>
      </c>
      <c r="B19" s="77" t="str">
        <f>'Data Siswa'!B19</f>
        <v>MUHAMMAD RIFKI ADI NUGROHO</v>
      </c>
      <c r="C19" s="10" t="str">
        <f>'Data Siswa'!C19</f>
        <v>0596</v>
      </c>
      <c r="D19" s="16">
        <v>4</v>
      </c>
      <c r="E19" s="16">
        <v>4</v>
      </c>
      <c r="F19" s="16">
        <v>4.5</v>
      </c>
      <c r="G19" s="16">
        <v>4.5</v>
      </c>
      <c r="H19" s="16">
        <v>4</v>
      </c>
      <c r="I19" s="16">
        <v>4.5</v>
      </c>
      <c r="J19" s="16">
        <v>7</v>
      </c>
      <c r="K19" s="16">
        <v>5.5</v>
      </c>
      <c r="L19" s="16">
        <v>7</v>
      </c>
      <c r="M19" s="16">
        <v>7.5</v>
      </c>
      <c r="N19" s="16">
        <v>6.5</v>
      </c>
      <c r="O19" s="16">
        <v>4</v>
      </c>
      <c r="P19" s="16">
        <v>5</v>
      </c>
      <c r="Q19" s="16">
        <v>6</v>
      </c>
      <c r="R19" s="16">
        <v>6</v>
      </c>
      <c r="S19" s="16">
        <v>5</v>
      </c>
      <c r="T19" s="16">
        <v>6.4</v>
      </c>
      <c r="U19" s="16">
        <v>7</v>
      </c>
      <c r="V19" s="16">
        <v>6.5</v>
      </c>
      <c r="W19" s="16">
        <v>5.5</v>
      </c>
      <c r="X19" s="16">
        <v>5</v>
      </c>
      <c r="Y19" s="16"/>
      <c r="Z19" s="16">
        <v>4</v>
      </c>
      <c r="AA19" s="16">
        <v>7</v>
      </c>
      <c r="AB19" s="16">
        <v>6</v>
      </c>
      <c r="AC19" s="16">
        <v>7.6</v>
      </c>
      <c r="AD19" s="16">
        <v>5</v>
      </c>
      <c r="AE19" s="16">
        <v>3</v>
      </c>
      <c r="AF19" s="105"/>
      <c r="AG19" s="105"/>
      <c r="AH19" s="105"/>
      <c r="AI19" s="16">
        <v>5</v>
      </c>
      <c r="AJ19" s="16">
        <v>7</v>
      </c>
      <c r="AK19" s="16">
        <v>8.5</v>
      </c>
      <c r="AL19" s="16">
        <v>7.8</v>
      </c>
      <c r="AM19" s="16">
        <v>8</v>
      </c>
      <c r="AN19" s="16">
        <v>8</v>
      </c>
      <c r="AO19" s="17">
        <f t="shared" si="0"/>
        <v>192.3</v>
      </c>
      <c r="AP19" s="65">
        <f t="shared" si="1"/>
        <v>5.827272727272728</v>
      </c>
    </row>
    <row r="20" spans="1:42" ht="15.5" x14ac:dyDescent="0.35">
      <c r="A20" s="10">
        <f>'Data Siswa'!A20</f>
        <v>19</v>
      </c>
      <c r="B20" s="77" t="str">
        <f>'Data Siswa'!B20</f>
        <v>MUHAMMAD SULAMUT TAUFIQ</v>
      </c>
      <c r="C20" s="10" t="str">
        <f>'Data Siswa'!C20</f>
        <v>0597</v>
      </c>
      <c r="D20" s="16">
        <v>4.5</v>
      </c>
      <c r="E20" s="16">
        <v>4</v>
      </c>
      <c r="F20" s="16">
        <v>4</v>
      </c>
      <c r="G20" s="16">
        <v>4</v>
      </c>
      <c r="H20" s="16">
        <v>4</v>
      </c>
      <c r="I20" s="16">
        <v>5</v>
      </c>
      <c r="J20" s="16">
        <v>5.5</v>
      </c>
      <c r="K20" s="16">
        <v>5.5</v>
      </c>
      <c r="L20" s="16">
        <v>7</v>
      </c>
      <c r="M20" s="16">
        <v>7.5</v>
      </c>
      <c r="N20" s="16">
        <v>6.5</v>
      </c>
      <c r="O20" s="16">
        <v>4</v>
      </c>
      <c r="P20" s="16">
        <v>5</v>
      </c>
      <c r="Q20" s="16">
        <v>6.5</v>
      </c>
      <c r="R20" s="16">
        <v>5</v>
      </c>
      <c r="S20" s="16">
        <v>5</v>
      </c>
      <c r="T20" s="16">
        <v>5.5</v>
      </c>
      <c r="U20" s="16">
        <v>7</v>
      </c>
      <c r="V20" s="16">
        <v>5</v>
      </c>
      <c r="W20" s="16">
        <v>6</v>
      </c>
      <c r="X20" s="16">
        <v>5.5</v>
      </c>
      <c r="Y20" s="16"/>
      <c r="Z20" s="16">
        <v>4</v>
      </c>
      <c r="AA20" s="16">
        <v>7</v>
      </c>
      <c r="AB20" s="16">
        <v>6</v>
      </c>
      <c r="AC20" s="16">
        <v>7.6</v>
      </c>
      <c r="AD20" s="16">
        <v>5.5</v>
      </c>
      <c r="AE20" s="16">
        <v>3</v>
      </c>
      <c r="AF20" s="105"/>
      <c r="AG20" s="105"/>
      <c r="AH20" s="105"/>
      <c r="AI20" s="16">
        <v>4.5</v>
      </c>
      <c r="AJ20" s="16">
        <v>7</v>
      </c>
      <c r="AK20" s="16">
        <v>7.8</v>
      </c>
      <c r="AL20" s="16">
        <v>7.8</v>
      </c>
      <c r="AM20" s="16">
        <v>8</v>
      </c>
      <c r="AN20" s="16">
        <v>8</v>
      </c>
      <c r="AO20" s="17">
        <f t="shared" si="0"/>
        <v>188.20000000000002</v>
      </c>
      <c r="AP20" s="65">
        <f t="shared" si="1"/>
        <v>5.7030303030303031</v>
      </c>
    </row>
    <row r="21" spans="1:42" ht="15.5" x14ac:dyDescent="0.35">
      <c r="A21" s="10">
        <f>'Data Siswa'!A21</f>
        <v>20</v>
      </c>
      <c r="B21" s="77" t="str">
        <f>'Data Siswa'!B21</f>
        <v>MUHAMMAD VIKRI ABDILLAH</v>
      </c>
      <c r="C21" s="10" t="str">
        <f>'Data Siswa'!C21</f>
        <v>0598</v>
      </c>
      <c r="D21" s="16">
        <v>4</v>
      </c>
      <c r="E21" s="16">
        <v>4</v>
      </c>
      <c r="F21" s="16">
        <v>4</v>
      </c>
      <c r="G21" s="16">
        <v>5</v>
      </c>
      <c r="H21" s="16">
        <v>4</v>
      </c>
      <c r="I21" s="16">
        <v>5</v>
      </c>
      <c r="J21" s="16">
        <v>6</v>
      </c>
      <c r="K21" s="16">
        <v>5</v>
      </c>
      <c r="L21" s="16">
        <v>7</v>
      </c>
      <c r="M21" s="16">
        <v>8</v>
      </c>
      <c r="N21" s="16">
        <v>5</v>
      </c>
      <c r="O21" s="16">
        <v>4</v>
      </c>
      <c r="P21" s="16">
        <v>5</v>
      </c>
      <c r="Q21" s="16">
        <v>6</v>
      </c>
      <c r="R21" s="16">
        <v>7</v>
      </c>
      <c r="S21" s="16">
        <v>6</v>
      </c>
      <c r="T21" s="16">
        <v>4.5</v>
      </c>
      <c r="U21" s="16">
        <v>6</v>
      </c>
      <c r="V21" s="16">
        <v>6.5</v>
      </c>
      <c r="W21" s="16">
        <v>6.5</v>
      </c>
      <c r="X21" s="16">
        <v>6</v>
      </c>
      <c r="Y21" s="16"/>
      <c r="Z21" s="16">
        <v>4</v>
      </c>
      <c r="AA21" s="16">
        <v>7</v>
      </c>
      <c r="AB21" s="16">
        <v>6</v>
      </c>
      <c r="AC21" s="16">
        <v>7.6</v>
      </c>
      <c r="AD21" s="16">
        <v>6.5</v>
      </c>
      <c r="AE21" s="16">
        <v>3</v>
      </c>
      <c r="AF21" s="105"/>
      <c r="AG21" s="105"/>
      <c r="AH21" s="105"/>
      <c r="AI21" s="16">
        <v>4.5</v>
      </c>
      <c r="AJ21" s="16">
        <v>8</v>
      </c>
      <c r="AK21" s="16">
        <v>8.6999999999999993</v>
      </c>
      <c r="AL21" s="16">
        <v>8</v>
      </c>
      <c r="AM21" s="16">
        <v>8</v>
      </c>
      <c r="AN21" s="16">
        <v>8</v>
      </c>
      <c r="AO21" s="17">
        <f t="shared" si="0"/>
        <v>193.79999999999998</v>
      </c>
      <c r="AP21" s="65">
        <f t="shared" si="1"/>
        <v>5.8727272727272721</v>
      </c>
    </row>
    <row r="22" spans="1:42" ht="15.5" x14ac:dyDescent="0.35">
      <c r="A22" s="10">
        <f>'Data Siswa'!A22</f>
        <v>21</v>
      </c>
      <c r="B22" s="77" t="str">
        <f>'Data Siswa'!B22</f>
        <v>NOVAL DZAKI</v>
      </c>
      <c r="C22" s="10" t="str">
        <f>'Data Siswa'!C22</f>
        <v>0599</v>
      </c>
      <c r="D22" s="16">
        <v>4.5</v>
      </c>
      <c r="E22" s="16">
        <v>4</v>
      </c>
      <c r="F22" s="16">
        <v>4</v>
      </c>
      <c r="G22" s="16">
        <v>4.5</v>
      </c>
      <c r="H22" s="16">
        <v>4</v>
      </c>
      <c r="I22" s="16">
        <v>4.5</v>
      </c>
      <c r="J22" s="16">
        <v>5</v>
      </c>
      <c r="K22" s="16">
        <v>5</v>
      </c>
      <c r="L22" s="16">
        <v>7</v>
      </c>
      <c r="M22" s="16">
        <v>8</v>
      </c>
      <c r="N22" s="16">
        <v>5</v>
      </c>
      <c r="O22" s="16">
        <v>4</v>
      </c>
      <c r="P22" s="16">
        <v>4</v>
      </c>
      <c r="Q22" s="16">
        <v>5.5</v>
      </c>
      <c r="R22" s="16">
        <v>4</v>
      </c>
      <c r="S22" s="16">
        <v>4.5</v>
      </c>
      <c r="T22" s="16">
        <v>4</v>
      </c>
      <c r="U22" s="16">
        <v>6</v>
      </c>
      <c r="V22" s="16">
        <v>4</v>
      </c>
      <c r="W22" s="16">
        <v>5</v>
      </c>
      <c r="X22" s="16">
        <v>5</v>
      </c>
      <c r="Y22" s="16"/>
      <c r="Z22" s="16">
        <v>4</v>
      </c>
      <c r="AA22" s="16">
        <v>7</v>
      </c>
      <c r="AB22" s="16">
        <v>6</v>
      </c>
      <c r="AC22" s="16">
        <v>7.6</v>
      </c>
      <c r="AD22" s="16">
        <v>4</v>
      </c>
      <c r="AE22" s="16">
        <v>3</v>
      </c>
      <c r="AF22" s="105"/>
      <c r="AG22" s="105"/>
      <c r="AH22" s="105"/>
      <c r="AI22" s="16">
        <v>5.5</v>
      </c>
      <c r="AJ22" s="16">
        <v>7</v>
      </c>
      <c r="AK22" s="16">
        <v>7.6</v>
      </c>
      <c r="AL22" s="16">
        <v>8</v>
      </c>
      <c r="AM22" s="16">
        <v>7.5</v>
      </c>
      <c r="AN22" s="16">
        <v>8</v>
      </c>
      <c r="AO22" s="17">
        <f t="shared" si="0"/>
        <v>176.7</v>
      </c>
      <c r="AP22" s="65">
        <f t="shared" si="1"/>
        <v>5.3545454545454545</v>
      </c>
    </row>
    <row r="23" spans="1:42" ht="15.5" x14ac:dyDescent="0.35">
      <c r="A23" s="10">
        <f>'Data Siswa'!A23</f>
        <v>22</v>
      </c>
      <c r="B23" s="77" t="str">
        <f>'Data Siswa'!B23</f>
        <v>NURHIDAYAT</v>
      </c>
      <c r="C23" s="10" t="str">
        <f>'Data Siswa'!C23</f>
        <v>0600</v>
      </c>
      <c r="D23" s="16">
        <v>4.5</v>
      </c>
      <c r="E23" s="16">
        <v>4</v>
      </c>
      <c r="F23" s="16">
        <v>4</v>
      </c>
      <c r="G23" s="16">
        <v>4.5</v>
      </c>
      <c r="H23" s="16">
        <v>4</v>
      </c>
      <c r="I23" s="16">
        <v>5</v>
      </c>
      <c r="J23" s="16">
        <v>6</v>
      </c>
      <c r="K23" s="16">
        <v>5.5</v>
      </c>
      <c r="L23" s="16">
        <v>7</v>
      </c>
      <c r="M23" s="16">
        <v>7.5</v>
      </c>
      <c r="N23" s="16">
        <v>5.5</v>
      </c>
      <c r="O23" s="16">
        <v>4</v>
      </c>
      <c r="P23" s="16">
        <v>4.5</v>
      </c>
      <c r="Q23" s="16">
        <v>6</v>
      </c>
      <c r="R23" s="16">
        <v>5</v>
      </c>
      <c r="S23" s="16">
        <v>6</v>
      </c>
      <c r="T23" s="16">
        <v>4</v>
      </c>
      <c r="U23" s="16">
        <v>7</v>
      </c>
      <c r="V23" s="16">
        <v>6</v>
      </c>
      <c r="W23" s="16">
        <v>5.5</v>
      </c>
      <c r="X23" s="16">
        <v>5</v>
      </c>
      <c r="Y23" s="16"/>
      <c r="Z23" s="16">
        <v>4</v>
      </c>
      <c r="AA23" s="16">
        <v>7</v>
      </c>
      <c r="AB23" s="16">
        <v>6</v>
      </c>
      <c r="AC23" s="16">
        <v>7.6</v>
      </c>
      <c r="AD23" s="16">
        <v>5</v>
      </c>
      <c r="AE23" s="16">
        <v>3</v>
      </c>
      <c r="AF23" s="105"/>
      <c r="AG23" s="105"/>
      <c r="AH23" s="105"/>
      <c r="AI23" s="16">
        <v>6</v>
      </c>
      <c r="AJ23" s="16">
        <v>7</v>
      </c>
      <c r="AK23" s="16">
        <v>7.6</v>
      </c>
      <c r="AL23" s="16">
        <v>7.8</v>
      </c>
      <c r="AM23" s="16">
        <v>8</v>
      </c>
      <c r="AN23" s="16">
        <v>8</v>
      </c>
      <c r="AO23" s="17">
        <f t="shared" si="0"/>
        <v>187.5</v>
      </c>
      <c r="AP23" s="65">
        <f t="shared" si="1"/>
        <v>5.6818181818181817</v>
      </c>
    </row>
    <row r="24" spans="1:42" ht="15.5" x14ac:dyDescent="0.35">
      <c r="A24" s="10">
        <f>'Data Siswa'!A24</f>
        <v>23</v>
      </c>
      <c r="B24" s="77" t="str">
        <f>'Data Siswa'!B24</f>
        <v>RAYHAN HIKMAT CHANDRA</v>
      </c>
      <c r="C24" s="10" t="str">
        <f>'Data Siswa'!C24</f>
        <v>0601</v>
      </c>
      <c r="D24" s="16">
        <v>4</v>
      </c>
      <c r="E24" s="16">
        <v>4</v>
      </c>
      <c r="F24" s="16">
        <v>4</v>
      </c>
      <c r="G24" s="16">
        <v>4</v>
      </c>
      <c r="H24" s="16">
        <v>4</v>
      </c>
      <c r="I24" s="16">
        <v>4.5</v>
      </c>
      <c r="J24" s="16">
        <v>6.5</v>
      </c>
      <c r="K24" s="16">
        <v>5.5</v>
      </c>
      <c r="L24" s="16">
        <v>7</v>
      </c>
      <c r="M24" s="16">
        <v>7.5</v>
      </c>
      <c r="N24" s="16">
        <v>4.5</v>
      </c>
      <c r="O24" s="16">
        <v>4</v>
      </c>
      <c r="P24" s="16">
        <v>4</v>
      </c>
      <c r="Q24" s="16">
        <v>5</v>
      </c>
      <c r="R24" s="16">
        <v>3</v>
      </c>
      <c r="S24" s="16">
        <v>5</v>
      </c>
      <c r="T24" s="16">
        <v>4</v>
      </c>
      <c r="U24" s="16">
        <v>6.5</v>
      </c>
      <c r="V24" s="16">
        <v>4</v>
      </c>
      <c r="W24" s="16">
        <v>4.5</v>
      </c>
      <c r="X24" s="16">
        <v>5</v>
      </c>
      <c r="Y24" s="16"/>
      <c r="Z24" s="16">
        <v>4</v>
      </c>
      <c r="AA24" s="16">
        <v>7</v>
      </c>
      <c r="AB24" s="16">
        <v>6</v>
      </c>
      <c r="AC24" s="16">
        <v>7.6</v>
      </c>
      <c r="AD24" s="16">
        <v>4.5</v>
      </c>
      <c r="AE24" s="16">
        <v>3</v>
      </c>
      <c r="AF24" s="105"/>
      <c r="AG24" s="105"/>
      <c r="AH24" s="105"/>
      <c r="AI24" s="16">
        <v>4</v>
      </c>
      <c r="AJ24" s="16">
        <v>7</v>
      </c>
      <c r="AK24" s="16">
        <v>7.6</v>
      </c>
      <c r="AL24" s="16">
        <v>7.8</v>
      </c>
      <c r="AM24" s="16">
        <v>7.5</v>
      </c>
      <c r="AN24" s="16">
        <v>8</v>
      </c>
      <c r="AO24" s="17">
        <f t="shared" si="0"/>
        <v>174.5</v>
      </c>
      <c r="AP24" s="65">
        <f t="shared" si="1"/>
        <v>5.2878787878787881</v>
      </c>
    </row>
    <row r="25" spans="1:42" ht="15.5" x14ac:dyDescent="0.35">
      <c r="A25" s="10">
        <f>'Data Siswa'!A25</f>
        <v>24</v>
      </c>
      <c r="B25" s="77" t="str">
        <f>'Data Siswa'!B25</f>
        <v>ZAKWAN ADIB</v>
      </c>
      <c r="C25" s="10" t="str">
        <f>'Data Siswa'!C25</f>
        <v>0602</v>
      </c>
      <c r="D25" s="16">
        <v>4</v>
      </c>
      <c r="E25" s="16">
        <v>4.5</v>
      </c>
      <c r="F25" s="16">
        <v>4</v>
      </c>
      <c r="G25" s="16">
        <v>5</v>
      </c>
      <c r="H25" s="16">
        <v>4</v>
      </c>
      <c r="I25" s="16">
        <v>4.5</v>
      </c>
      <c r="J25" s="16">
        <v>8</v>
      </c>
      <c r="K25" s="16">
        <v>5.5</v>
      </c>
      <c r="L25" s="16">
        <v>7</v>
      </c>
      <c r="M25" s="16">
        <v>8</v>
      </c>
      <c r="N25" s="16">
        <v>5</v>
      </c>
      <c r="O25" s="16">
        <v>4</v>
      </c>
      <c r="P25" s="16">
        <v>5</v>
      </c>
      <c r="Q25" s="16">
        <v>7</v>
      </c>
      <c r="R25" s="16">
        <v>4</v>
      </c>
      <c r="S25" s="16">
        <v>6</v>
      </c>
      <c r="T25" s="16">
        <v>4</v>
      </c>
      <c r="U25" s="16">
        <v>6</v>
      </c>
      <c r="V25" s="16">
        <v>6.5</v>
      </c>
      <c r="W25" s="16">
        <v>5</v>
      </c>
      <c r="X25" s="16">
        <v>6</v>
      </c>
      <c r="Y25" s="16"/>
      <c r="Z25" s="16">
        <v>4</v>
      </c>
      <c r="AA25" s="16">
        <v>7</v>
      </c>
      <c r="AB25" s="16">
        <v>6</v>
      </c>
      <c r="AC25" s="16">
        <v>7.6</v>
      </c>
      <c r="AD25" s="16">
        <v>5.5</v>
      </c>
      <c r="AE25" s="16">
        <v>3</v>
      </c>
      <c r="AF25" s="105"/>
      <c r="AG25" s="105"/>
      <c r="AH25" s="105"/>
      <c r="AI25" s="16">
        <v>4.5</v>
      </c>
      <c r="AJ25" s="16">
        <v>7</v>
      </c>
      <c r="AK25" s="16">
        <v>7.6</v>
      </c>
      <c r="AL25" s="16">
        <v>7.9</v>
      </c>
      <c r="AM25" s="16">
        <v>8</v>
      </c>
      <c r="AN25" s="16">
        <v>8</v>
      </c>
      <c r="AO25" s="17">
        <f t="shared" si="0"/>
        <v>189.1</v>
      </c>
      <c r="AP25" s="65">
        <f t="shared" si="1"/>
        <v>5.7303030303030305</v>
      </c>
    </row>
    <row r="26" spans="1:42" ht="15.5" x14ac:dyDescent="0.35">
      <c r="A26" s="10">
        <f>'Data Siswa'!A26</f>
        <v>25</v>
      </c>
      <c r="B26" s="77">
        <f>'Data Siswa'!B26</f>
        <v>0</v>
      </c>
      <c r="C26" s="10">
        <f>'Data Siswa'!C26</f>
        <v>0</v>
      </c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05"/>
      <c r="AG26" s="105"/>
      <c r="AH26" s="105"/>
      <c r="AI26" s="16"/>
      <c r="AJ26" s="16"/>
      <c r="AK26" s="16"/>
      <c r="AL26" s="16"/>
      <c r="AM26" s="16"/>
      <c r="AN26" s="16"/>
      <c r="AO26" s="17">
        <f t="shared" si="0"/>
        <v>0</v>
      </c>
      <c r="AP26" s="65" t="e">
        <f t="shared" si="1"/>
        <v>#DIV/0!</v>
      </c>
    </row>
    <row r="27" spans="1:42" ht="15.5" x14ac:dyDescent="0.35">
      <c r="A27" s="10">
        <f>'Data Siswa'!A27</f>
        <v>26</v>
      </c>
      <c r="B27" s="77">
        <f>'Data Siswa'!B27</f>
        <v>0</v>
      </c>
      <c r="C27" s="10">
        <f>'Data Siswa'!C27</f>
        <v>0</v>
      </c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05"/>
      <c r="AG27" s="105"/>
      <c r="AH27" s="105"/>
      <c r="AI27" s="16"/>
      <c r="AJ27" s="16"/>
      <c r="AK27" s="16"/>
      <c r="AL27" s="16"/>
      <c r="AM27" s="16"/>
      <c r="AN27" s="16"/>
      <c r="AO27" s="17">
        <f t="shared" si="0"/>
        <v>0</v>
      </c>
      <c r="AP27" s="65" t="e">
        <f t="shared" si="1"/>
        <v>#DIV/0!</v>
      </c>
    </row>
    <row r="28" spans="1:42" ht="15.5" x14ac:dyDescent="0.35">
      <c r="A28" s="10">
        <f>'Data Siswa'!A28</f>
        <v>27</v>
      </c>
      <c r="B28" s="77">
        <f>'Data Siswa'!B28</f>
        <v>0</v>
      </c>
      <c r="C28" s="10">
        <f>'Data Siswa'!C28</f>
        <v>0</v>
      </c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05"/>
      <c r="AG28" s="105"/>
      <c r="AH28" s="105"/>
      <c r="AI28" s="16"/>
      <c r="AJ28" s="16"/>
      <c r="AK28" s="16"/>
      <c r="AL28" s="16"/>
      <c r="AM28" s="16"/>
      <c r="AN28" s="16"/>
      <c r="AO28" s="17">
        <f t="shared" si="0"/>
        <v>0</v>
      </c>
      <c r="AP28" s="65" t="e">
        <f t="shared" si="1"/>
        <v>#DIV/0!</v>
      </c>
    </row>
    <row r="29" spans="1:42" ht="15.5" x14ac:dyDescent="0.35">
      <c r="A29" s="10">
        <f>'Data Siswa'!A29</f>
        <v>28</v>
      </c>
      <c r="B29" s="77">
        <f>'Data Siswa'!B29</f>
        <v>0</v>
      </c>
      <c r="C29" s="10">
        <f>'Data Siswa'!C29</f>
        <v>0</v>
      </c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05"/>
      <c r="AG29" s="105"/>
      <c r="AH29" s="105"/>
      <c r="AI29" s="16"/>
      <c r="AJ29" s="16"/>
      <c r="AK29" s="16"/>
      <c r="AL29" s="16"/>
      <c r="AM29" s="16"/>
      <c r="AN29" s="16"/>
      <c r="AO29" s="17">
        <f t="shared" si="0"/>
        <v>0</v>
      </c>
      <c r="AP29" s="65" t="e">
        <f t="shared" si="1"/>
        <v>#DIV/0!</v>
      </c>
    </row>
    <row r="30" spans="1:42" ht="15.5" x14ac:dyDescent="0.35">
      <c r="A30" s="10">
        <f>'Data Siswa'!A30</f>
        <v>29</v>
      </c>
      <c r="B30" s="77">
        <f>'Data Siswa'!B30</f>
        <v>0</v>
      </c>
      <c r="C30" s="10">
        <f>'Data Siswa'!C30</f>
        <v>0</v>
      </c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05"/>
      <c r="AG30" s="105"/>
      <c r="AH30" s="105"/>
      <c r="AI30" s="16"/>
      <c r="AJ30" s="16"/>
      <c r="AK30" s="16"/>
      <c r="AL30" s="16"/>
      <c r="AM30" s="16"/>
      <c r="AN30" s="16"/>
      <c r="AO30" s="17">
        <f t="shared" si="0"/>
        <v>0</v>
      </c>
      <c r="AP30" s="65" t="e">
        <f t="shared" si="1"/>
        <v>#DIV/0!</v>
      </c>
    </row>
    <row r="31" spans="1:42" ht="15.5" x14ac:dyDescent="0.35">
      <c r="A31" s="10">
        <f>'Data Siswa'!A31</f>
        <v>30</v>
      </c>
      <c r="B31" s="77">
        <f>'Data Siswa'!B31</f>
        <v>0</v>
      </c>
      <c r="C31" s="10">
        <f>'Data Siswa'!C31</f>
        <v>0</v>
      </c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05"/>
      <c r="AG31" s="105"/>
      <c r="AH31" s="105"/>
      <c r="AI31" s="16"/>
      <c r="AJ31" s="16"/>
      <c r="AK31" s="16"/>
      <c r="AL31" s="16"/>
      <c r="AM31" s="16"/>
      <c r="AN31" s="16"/>
      <c r="AO31" s="17">
        <f t="shared" si="0"/>
        <v>0</v>
      </c>
      <c r="AP31" s="65" t="e">
        <f t="shared" si="1"/>
        <v>#DIV/0!</v>
      </c>
    </row>
    <row r="32" spans="1:42" ht="15.5" x14ac:dyDescent="0.35">
      <c r="A32" s="10">
        <f>'Data Siswa'!A32</f>
        <v>31</v>
      </c>
      <c r="B32" s="77">
        <f>'Data Siswa'!B32</f>
        <v>0</v>
      </c>
      <c r="C32" s="10">
        <f>'Data Siswa'!C32</f>
        <v>0</v>
      </c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05"/>
      <c r="AG32" s="105"/>
      <c r="AH32" s="105"/>
      <c r="AI32" s="16"/>
      <c r="AJ32" s="16"/>
      <c r="AK32" s="16"/>
      <c r="AL32" s="16"/>
      <c r="AM32" s="16"/>
      <c r="AN32" s="16"/>
      <c r="AO32" s="17">
        <f t="shared" si="0"/>
        <v>0</v>
      </c>
      <c r="AP32" s="65" t="e">
        <f t="shared" si="1"/>
        <v>#DIV/0!</v>
      </c>
    </row>
    <row r="33" spans="1:42" ht="15.5" x14ac:dyDescent="0.35">
      <c r="A33" s="10">
        <f>'Data Siswa'!A33</f>
        <v>32</v>
      </c>
      <c r="B33" s="77">
        <f>'Data Siswa'!B33</f>
        <v>0</v>
      </c>
      <c r="C33" s="10">
        <f>'Data Siswa'!C33</f>
        <v>0</v>
      </c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05"/>
      <c r="AG33" s="105"/>
      <c r="AH33" s="105"/>
      <c r="AI33" s="16"/>
      <c r="AJ33" s="16"/>
      <c r="AK33" s="16"/>
      <c r="AL33" s="16"/>
      <c r="AM33" s="16"/>
      <c r="AN33" s="16"/>
      <c r="AO33" s="17">
        <f t="shared" si="0"/>
        <v>0</v>
      </c>
      <c r="AP33" s="65" t="e">
        <f t="shared" si="1"/>
        <v>#DIV/0!</v>
      </c>
    </row>
    <row r="34" spans="1:42" ht="15.5" x14ac:dyDescent="0.35">
      <c r="A34" s="10">
        <f>'Data Siswa'!A34</f>
        <v>33</v>
      </c>
      <c r="B34" s="77">
        <f>'Data Siswa'!B34</f>
        <v>0</v>
      </c>
      <c r="C34" s="10">
        <f>'Data Siswa'!C34</f>
        <v>0</v>
      </c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05"/>
      <c r="AG34" s="105"/>
      <c r="AH34" s="105"/>
      <c r="AI34" s="16"/>
      <c r="AJ34" s="16"/>
      <c r="AK34" s="16"/>
      <c r="AL34" s="16"/>
      <c r="AM34" s="16"/>
      <c r="AN34" s="16"/>
      <c r="AO34" s="17">
        <f t="shared" si="0"/>
        <v>0</v>
      </c>
      <c r="AP34" s="65" t="e">
        <f t="shared" si="1"/>
        <v>#DIV/0!</v>
      </c>
    </row>
    <row r="35" spans="1:42" ht="15.5" x14ac:dyDescent="0.35">
      <c r="A35" s="10">
        <f>'Data Siswa'!A35</f>
        <v>34</v>
      </c>
      <c r="B35" s="77"/>
      <c r="C35" s="10">
        <f>'Data Siswa'!C35</f>
        <v>0</v>
      </c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05"/>
      <c r="AG35" s="105"/>
      <c r="AH35" s="105"/>
      <c r="AI35" s="16"/>
      <c r="AJ35" s="16"/>
      <c r="AK35" s="16"/>
      <c r="AL35" s="16"/>
      <c r="AM35" s="16"/>
      <c r="AN35" s="16"/>
      <c r="AO35" s="17">
        <f t="shared" si="0"/>
        <v>0</v>
      </c>
      <c r="AP35" s="65" t="e">
        <f t="shared" si="1"/>
        <v>#DIV/0!</v>
      </c>
    </row>
    <row r="36" spans="1:42" ht="15.5" x14ac:dyDescent="0.35">
      <c r="A36" s="10">
        <f>'Data Siswa'!A36</f>
        <v>35</v>
      </c>
      <c r="B36" s="77">
        <f>'Data Siswa'!B36</f>
        <v>0</v>
      </c>
      <c r="C36" s="10">
        <f>'Data Siswa'!C36</f>
        <v>0</v>
      </c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05"/>
      <c r="AG36" s="105"/>
      <c r="AH36" s="105"/>
      <c r="AI36" s="16"/>
      <c r="AJ36" s="16"/>
      <c r="AK36" s="16"/>
      <c r="AL36" s="16"/>
      <c r="AM36" s="16"/>
      <c r="AN36" s="16"/>
      <c r="AO36" s="17">
        <f t="shared" si="0"/>
        <v>0</v>
      </c>
      <c r="AP36" s="65" t="e">
        <f t="shared" si="1"/>
        <v>#DIV/0!</v>
      </c>
    </row>
    <row r="37" spans="1:42" ht="15.5" x14ac:dyDescent="0.35">
      <c r="A37" s="10">
        <f>'Data Siswa'!A37</f>
        <v>36</v>
      </c>
      <c r="B37" s="77">
        <f>'Data Siswa'!B37</f>
        <v>0</v>
      </c>
      <c r="C37" s="10">
        <f>'Data Siswa'!C37</f>
        <v>0</v>
      </c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05"/>
      <c r="AG37" s="105"/>
      <c r="AH37" s="105"/>
      <c r="AI37" s="16"/>
      <c r="AJ37" s="16"/>
      <c r="AK37" s="16"/>
      <c r="AL37" s="16"/>
      <c r="AM37" s="16"/>
      <c r="AN37" s="16"/>
      <c r="AO37" s="17">
        <f t="shared" si="0"/>
        <v>0</v>
      </c>
      <c r="AP37" s="65" t="e">
        <f t="shared" si="1"/>
        <v>#DIV/0!</v>
      </c>
    </row>
    <row r="38" spans="1:42" ht="15.5" x14ac:dyDescent="0.35">
      <c r="A38" s="10">
        <f>'Data Siswa'!A38</f>
        <v>37</v>
      </c>
      <c r="B38" s="77">
        <f>'Data Siswa'!B38</f>
        <v>0</v>
      </c>
      <c r="C38" s="10">
        <f>'Data Siswa'!C38</f>
        <v>0</v>
      </c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05"/>
      <c r="AG38" s="105"/>
      <c r="AH38" s="105"/>
      <c r="AI38" s="16"/>
      <c r="AJ38" s="16"/>
      <c r="AK38" s="16"/>
      <c r="AL38" s="16"/>
      <c r="AM38" s="16"/>
      <c r="AN38" s="16"/>
      <c r="AO38" s="17">
        <f t="shared" si="0"/>
        <v>0</v>
      </c>
      <c r="AP38" s="65" t="e">
        <f t="shared" si="1"/>
        <v>#DIV/0!</v>
      </c>
    </row>
    <row r="39" spans="1:42" ht="15.5" x14ac:dyDescent="0.35">
      <c r="A39" s="10">
        <f>'Data Siswa'!A39</f>
        <v>38</v>
      </c>
      <c r="B39" s="77">
        <f>'Data Siswa'!B39</f>
        <v>0</v>
      </c>
      <c r="C39" s="10">
        <f>'Data Siswa'!C39</f>
        <v>0</v>
      </c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05"/>
      <c r="AG39" s="105"/>
      <c r="AH39" s="105"/>
      <c r="AI39" s="16"/>
      <c r="AJ39" s="16"/>
      <c r="AK39" s="16"/>
      <c r="AL39" s="16"/>
      <c r="AM39" s="16"/>
      <c r="AN39" s="16"/>
      <c r="AO39" s="17">
        <f t="shared" si="0"/>
        <v>0</v>
      </c>
      <c r="AP39" s="65" t="e">
        <f t="shared" si="1"/>
        <v>#DIV/0!</v>
      </c>
    </row>
    <row r="40" spans="1:42" ht="15.5" x14ac:dyDescent="0.35">
      <c r="A40" s="10">
        <f>'Data Siswa'!A40</f>
        <v>39</v>
      </c>
      <c r="B40" s="77">
        <f>'Data Siswa'!B40</f>
        <v>0</v>
      </c>
      <c r="C40" s="10">
        <f>'Data Siswa'!C40</f>
        <v>0</v>
      </c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05"/>
      <c r="AG40" s="105"/>
      <c r="AH40" s="105"/>
      <c r="AI40" s="16"/>
      <c r="AJ40" s="16"/>
      <c r="AK40" s="16"/>
      <c r="AL40" s="16"/>
      <c r="AM40" s="16"/>
      <c r="AN40" s="16"/>
      <c r="AO40" s="17">
        <f t="shared" si="0"/>
        <v>0</v>
      </c>
      <c r="AP40" s="65" t="e">
        <f t="shared" si="1"/>
        <v>#DIV/0!</v>
      </c>
    </row>
    <row r="41" spans="1:42" ht="15.5" x14ac:dyDescent="0.35">
      <c r="A41" s="10">
        <f>'Data Siswa'!A41</f>
        <v>40</v>
      </c>
      <c r="B41" s="77">
        <f>'Data Siswa'!B41</f>
        <v>0</v>
      </c>
      <c r="C41" s="10">
        <f>'Data Siswa'!C41</f>
        <v>0</v>
      </c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05"/>
      <c r="AG41" s="105"/>
      <c r="AH41" s="105"/>
      <c r="AI41" s="16"/>
      <c r="AJ41" s="16"/>
      <c r="AK41" s="16"/>
      <c r="AL41" s="16"/>
      <c r="AM41" s="16"/>
      <c r="AN41" s="16"/>
      <c r="AO41" s="17">
        <f t="shared" si="0"/>
        <v>0</v>
      </c>
      <c r="AP41" s="65" t="e">
        <f t="shared" si="1"/>
        <v>#DIV/0!</v>
      </c>
    </row>
  </sheetData>
  <sheetProtection algorithmName="SHA-512" hashValue="3xeqUl8kmQdmefDotJkVoW8G+1mpBy3/t9ilQ4YzHZ1iJmz9o83Ltj6poroFc8acO4iCgzSbIOiXfqNb3/rLyQ==" saltValue="UmUNx0FYpkfL9P9pIx7Djw==" spinCount="100000" sheet="1" selectLockedCells="1"/>
  <conditionalFormatting sqref="D2:AB41">
    <cfRule type="cellIs" dxfId="6" priority="6" operator="greaterThan">
      <formula>8</formula>
    </cfRule>
  </conditionalFormatting>
  <conditionalFormatting sqref="D2:AE41">
    <cfRule type="cellIs" dxfId="5" priority="8" stopIfTrue="1" operator="lessThan">
      <formula>4</formula>
    </cfRule>
  </conditionalFormatting>
  <conditionalFormatting sqref="AC2:AE41">
    <cfRule type="cellIs" dxfId="4" priority="5" operator="greaterThan">
      <formula>10</formula>
    </cfRule>
  </conditionalFormatting>
  <conditionalFormatting sqref="AI2:AN41">
    <cfRule type="cellIs" dxfId="3" priority="1" operator="greaterThan">
      <formula>10</formula>
    </cfRule>
    <cfRule type="cellIs" dxfId="2" priority="2" stopIfTrue="1" operator="lessThan">
      <formula>4</formula>
    </cfRule>
  </conditionalFormatting>
  <dataValidations count="2">
    <dataValidation operator="greaterThanOrEqual" allowBlank="1" showInputMessage="1" showErrorMessage="1" sqref="AF2:AH41" xr:uid="{00000000-0002-0000-0300-000000000000}"/>
    <dataValidation operator="greaterThanOrEqual" allowBlank="1" showInputMessage="1" showErrorMessage="1" errorTitle="Nilai Tidak Sesuai" error="Masukan Nilai Minimum 0 dan Maksimum 10" sqref="D2:AE41 AI2:AN41" xr:uid="{5E85F971-5B2B-464F-B55D-BC88A29D842A}"/>
  </dataValidations>
  <pageMargins left="0.7" right="0.7" top="0.75" bottom="0.75" header="0.3" footer="0.3"/>
  <pageSetup paperSize="5" scale="7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/>
  <dimension ref="A1:AA44"/>
  <sheetViews>
    <sheetView zoomScale="63" zoomScaleNormal="40" workbookViewId="0">
      <selection activeCell="G4" sqref="G4"/>
    </sheetView>
  </sheetViews>
  <sheetFormatPr defaultColWidth="8.7265625" defaultRowHeight="14.5" x14ac:dyDescent="0.35"/>
  <cols>
    <col min="1" max="1" width="6.54296875" style="21" customWidth="1"/>
    <col min="2" max="2" width="32.453125" style="21" customWidth="1"/>
    <col min="3" max="3" width="5.81640625" style="21" bestFit="1" customWidth="1"/>
    <col min="4" max="5" width="4.1796875" style="21" bestFit="1" customWidth="1"/>
    <col min="6" max="6" width="5.26953125" style="21" bestFit="1" customWidth="1"/>
    <col min="7" max="9" width="4.1796875" style="21" bestFit="1" customWidth="1"/>
    <col min="10" max="10" width="5.1796875" style="21" bestFit="1" customWidth="1"/>
    <col min="11" max="11" width="4" style="21" bestFit="1" customWidth="1"/>
    <col min="12" max="12" width="4" style="21" customWidth="1"/>
    <col min="13" max="13" width="4" style="21" bestFit="1" customWidth="1"/>
    <col min="14" max="14" width="4" style="21" customWidth="1"/>
    <col min="15" max="15" width="5.1796875" style="21" bestFit="1" customWidth="1"/>
    <col min="16" max="17" width="4.1796875" style="21" bestFit="1" customWidth="1"/>
    <col min="18" max="20" width="4.1796875" style="21" customWidth="1"/>
    <col min="21" max="21" width="6.453125" style="21" bestFit="1" customWidth="1"/>
    <col min="22" max="22" width="9.453125" style="99" bestFit="1" customWidth="1"/>
    <col min="23" max="23" width="2.81640625" style="21" customWidth="1"/>
    <col min="24" max="24" width="8.7265625" style="21" customWidth="1"/>
    <col min="25" max="25" width="11.453125" style="21" bestFit="1" customWidth="1"/>
    <col min="26" max="26" width="7.7265625" style="21" customWidth="1"/>
    <col min="27" max="27" width="11.453125" style="100" customWidth="1"/>
    <col min="28" max="16384" width="8.7265625" style="21"/>
  </cols>
  <sheetData>
    <row r="1" spans="1:27" ht="14.5" customHeight="1" x14ac:dyDescent="0.35">
      <c r="A1" s="138" t="s">
        <v>175</v>
      </c>
      <c r="B1" s="139"/>
      <c r="C1" s="140"/>
      <c r="D1" s="141" t="s">
        <v>176</v>
      </c>
      <c r="E1" s="142"/>
      <c r="F1" s="142"/>
      <c r="G1" s="142"/>
      <c r="H1" s="142"/>
      <c r="I1" s="142"/>
      <c r="J1" s="142"/>
      <c r="K1" s="142"/>
      <c r="L1" s="142"/>
      <c r="M1" s="142"/>
      <c r="N1" s="142"/>
      <c r="O1" s="142"/>
      <c r="P1" s="142"/>
      <c r="Q1" s="142"/>
      <c r="R1" s="142"/>
      <c r="S1" s="142"/>
      <c r="T1" s="142"/>
      <c r="U1" s="142"/>
      <c r="V1" s="143"/>
      <c r="W1" s="150"/>
      <c r="X1" s="152" t="s">
        <v>174</v>
      </c>
      <c r="Y1" s="153"/>
      <c r="Z1" s="154"/>
      <c r="AA1" s="70" t="s">
        <v>169</v>
      </c>
    </row>
    <row r="2" spans="1:27" ht="19.5" customHeight="1" x14ac:dyDescent="0.35">
      <c r="A2" s="146" t="s">
        <v>76</v>
      </c>
      <c r="B2" s="144" t="s">
        <v>55</v>
      </c>
      <c r="C2" s="146" t="s">
        <v>54</v>
      </c>
      <c r="D2" s="144" t="s">
        <v>81</v>
      </c>
      <c r="E2" s="144"/>
      <c r="F2" s="144"/>
      <c r="G2" s="144"/>
      <c r="H2" s="144"/>
      <c r="I2" s="144"/>
      <c r="J2" s="135" t="s">
        <v>82</v>
      </c>
      <c r="K2" s="136"/>
      <c r="L2" s="136"/>
      <c r="M2" s="136"/>
      <c r="N2" s="137"/>
      <c r="O2" s="135" t="s">
        <v>83</v>
      </c>
      <c r="P2" s="136"/>
      <c r="Q2" s="136"/>
      <c r="R2" s="136"/>
      <c r="S2" s="136"/>
      <c r="T2" s="137"/>
      <c r="U2" s="147" t="s">
        <v>27</v>
      </c>
      <c r="V2" s="145" t="s">
        <v>99</v>
      </c>
      <c r="W2" s="151"/>
      <c r="X2" s="147" t="s">
        <v>282</v>
      </c>
      <c r="Y2" s="147" t="s">
        <v>99</v>
      </c>
      <c r="Z2" s="147" t="s">
        <v>90</v>
      </c>
      <c r="AA2" s="149" t="s">
        <v>178</v>
      </c>
    </row>
    <row r="3" spans="1:27" ht="85" customHeight="1" x14ac:dyDescent="0.35">
      <c r="A3" s="146"/>
      <c r="B3" s="144"/>
      <c r="C3" s="146"/>
      <c r="D3" s="18" t="s">
        <v>79</v>
      </c>
      <c r="E3" s="18" t="s">
        <v>62</v>
      </c>
      <c r="F3" s="18" t="s">
        <v>63</v>
      </c>
      <c r="G3" s="18" t="s">
        <v>17</v>
      </c>
      <c r="H3" s="18" t="s">
        <v>18</v>
      </c>
      <c r="I3" s="18" t="s">
        <v>80</v>
      </c>
      <c r="J3" s="19" t="s">
        <v>66</v>
      </c>
      <c r="K3" s="19" t="s">
        <v>87</v>
      </c>
      <c r="L3" s="19" t="s">
        <v>88</v>
      </c>
      <c r="M3" s="19" t="s">
        <v>263</v>
      </c>
      <c r="N3" s="19" t="s">
        <v>89</v>
      </c>
      <c r="O3" s="18" t="s">
        <v>180</v>
      </c>
      <c r="P3" s="18" t="s">
        <v>85</v>
      </c>
      <c r="Q3" s="18" t="s">
        <v>104</v>
      </c>
      <c r="R3" s="18" t="s">
        <v>56</v>
      </c>
      <c r="S3" s="19" t="s">
        <v>280</v>
      </c>
      <c r="T3" s="18" t="s">
        <v>86</v>
      </c>
      <c r="U3" s="148"/>
      <c r="V3" s="145"/>
      <c r="W3" s="151"/>
      <c r="X3" s="148"/>
      <c r="Y3" s="148"/>
      <c r="Z3" s="148"/>
      <c r="AA3" s="149"/>
    </row>
    <row r="4" spans="1:27" ht="15.5" x14ac:dyDescent="0.35">
      <c r="A4" s="71">
        <f>'Data Siswa'!A2</f>
        <v>1</v>
      </c>
      <c r="B4" s="78" t="str">
        <f>'Data Siswa'!B2</f>
        <v>ABDUL ALLAN DARMA SAPUTRA</v>
      </c>
      <c r="C4" s="71" t="str">
        <f>'Data Siswa'!C2</f>
        <v>0579</v>
      </c>
      <c r="D4" s="16">
        <v>4.5</v>
      </c>
      <c r="E4" s="16">
        <v>6</v>
      </c>
      <c r="F4" s="16">
        <v>6</v>
      </c>
      <c r="G4" s="16">
        <v>4.5</v>
      </c>
      <c r="H4" s="16">
        <v>6</v>
      </c>
      <c r="I4" s="16"/>
      <c r="J4" s="16">
        <v>4</v>
      </c>
      <c r="K4" s="16">
        <v>4</v>
      </c>
      <c r="L4" s="16">
        <v>4</v>
      </c>
      <c r="M4" s="16">
        <v>4</v>
      </c>
      <c r="N4" s="16">
        <v>4</v>
      </c>
      <c r="O4" s="16">
        <v>6</v>
      </c>
      <c r="P4" s="16">
        <v>6</v>
      </c>
      <c r="Q4" s="16">
        <v>7</v>
      </c>
      <c r="R4" s="16">
        <v>6</v>
      </c>
      <c r="S4" s="16">
        <v>7</v>
      </c>
      <c r="T4" s="16"/>
      <c r="U4" s="72">
        <f t="shared" ref="U4:U43" si="0">SUM(D4:T4)</f>
        <v>79</v>
      </c>
      <c r="V4" s="73">
        <f t="shared" ref="V4:V43" si="1">AVERAGE(D4:T4)</f>
        <v>5.2666666666666666</v>
      </c>
      <c r="W4" s="74"/>
      <c r="X4" s="72">
        <f>SUM('Nilai Tahriri'!AO2,'Nilai Syafahi'!U4)</f>
        <v>263.20000000000005</v>
      </c>
      <c r="Y4" s="73">
        <f>AVERAGE(D4:T4,'Nilai Tahriri'!D2:AN2)</f>
        <v>5.4833333333333343</v>
      </c>
      <c r="Z4" s="75">
        <f t="array" aca="1" ref="Z4" ca="1">SUM(IF(X4&lt;OFFSET($X$4,0,0,COUNT(X:X),1),1/COUNTIF(OFFSET($X$4,0,0,COUNT(X:X),1),OFFSET($X$4,0,0,COUNT(X:X),1))))+1</f>
        <v>8</v>
      </c>
      <c r="AA4" s="61" t="s">
        <v>275</v>
      </c>
    </row>
    <row r="5" spans="1:27" ht="15.5" x14ac:dyDescent="0.35">
      <c r="A5" s="71">
        <f>'Data Siswa'!A3</f>
        <v>2</v>
      </c>
      <c r="B5" s="79" t="str">
        <f>'Data Siswa'!B3</f>
        <v>ABDUL FATTAH</v>
      </c>
      <c r="C5" s="71" t="str">
        <f>'Data Siswa'!C3</f>
        <v>0580</v>
      </c>
      <c r="D5" s="16">
        <v>4</v>
      </c>
      <c r="E5" s="16">
        <v>4.5</v>
      </c>
      <c r="F5" s="16">
        <v>4.5</v>
      </c>
      <c r="G5" s="16">
        <v>4</v>
      </c>
      <c r="H5" s="16">
        <v>4</v>
      </c>
      <c r="I5" s="16"/>
      <c r="J5" s="16">
        <v>4</v>
      </c>
      <c r="K5" s="16">
        <v>4</v>
      </c>
      <c r="L5" s="16">
        <v>4</v>
      </c>
      <c r="M5" s="16">
        <v>4</v>
      </c>
      <c r="N5" s="16">
        <v>4</v>
      </c>
      <c r="O5" s="16">
        <v>4.5</v>
      </c>
      <c r="P5" s="16">
        <v>4.5</v>
      </c>
      <c r="Q5" s="16">
        <v>5</v>
      </c>
      <c r="R5" s="16">
        <v>5</v>
      </c>
      <c r="S5" s="16">
        <v>4</v>
      </c>
      <c r="T5" s="16"/>
      <c r="U5" s="72">
        <f t="shared" si="0"/>
        <v>64</v>
      </c>
      <c r="V5" s="73">
        <f t="shared" si="1"/>
        <v>4.2666666666666666</v>
      </c>
      <c r="W5" s="74"/>
      <c r="X5" s="72">
        <f>SUM('Nilai Tahriri'!AO3,'Nilai Syafahi'!U5)</f>
        <v>235.4</v>
      </c>
      <c r="Y5" s="73">
        <f>AVERAGE(D5:T5,'Nilai Tahriri'!D3:AN3)</f>
        <v>4.9041666666666668</v>
      </c>
      <c r="Z5" s="75">
        <f t="array" aca="1" ref="Z5" ca="1">SUM(IF(X5&lt;OFFSET($X$4,0,0,COUNT(X:X),1),1/COUNTIF(OFFSET($X$4,0,0,COUNT(X:X),1),OFFSET($X$4,0,0,COUNT(X:X),1))))+1</f>
        <v>23</v>
      </c>
      <c r="AA5" s="61" t="s">
        <v>275</v>
      </c>
    </row>
    <row r="6" spans="1:27" ht="15.5" x14ac:dyDescent="0.35">
      <c r="A6" s="71">
        <f>'Data Siswa'!A4</f>
        <v>3</v>
      </c>
      <c r="B6" s="78" t="str">
        <f>'Data Siswa'!B4</f>
        <v>AHMAD FAJAR MUNAWWAR KHOLILY</v>
      </c>
      <c r="C6" s="71" t="str">
        <f>'Data Siswa'!C4</f>
        <v>0581</v>
      </c>
      <c r="D6" s="16">
        <v>4</v>
      </c>
      <c r="E6" s="16">
        <v>4.5</v>
      </c>
      <c r="F6" s="16">
        <v>4.5</v>
      </c>
      <c r="G6" s="16">
        <v>4</v>
      </c>
      <c r="H6" s="16">
        <v>4</v>
      </c>
      <c r="I6" s="16"/>
      <c r="J6" s="16">
        <v>4</v>
      </c>
      <c r="K6" s="16">
        <v>4</v>
      </c>
      <c r="L6" s="16">
        <v>4</v>
      </c>
      <c r="M6" s="16">
        <v>4</v>
      </c>
      <c r="N6" s="16">
        <v>4</v>
      </c>
      <c r="O6" s="16">
        <v>4.5</v>
      </c>
      <c r="P6" s="16">
        <v>4.5</v>
      </c>
      <c r="Q6" s="16">
        <v>5</v>
      </c>
      <c r="R6" s="16">
        <v>5</v>
      </c>
      <c r="S6" s="16">
        <v>4</v>
      </c>
      <c r="T6" s="16"/>
      <c r="U6" s="72">
        <f t="shared" si="0"/>
        <v>64</v>
      </c>
      <c r="V6" s="73">
        <f t="shared" si="1"/>
        <v>4.2666666666666666</v>
      </c>
      <c r="W6" s="74"/>
      <c r="X6" s="72">
        <f>SUM('Nilai Tahriri'!AO4,'Nilai Syafahi'!U6)</f>
        <v>236.6</v>
      </c>
      <c r="Y6" s="73">
        <f>AVERAGE(D6:T6,'Nilai Tahriri'!D4:AN4)</f>
        <v>4.9291666666666663</v>
      </c>
      <c r="Z6" s="75">
        <f t="array" aca="1" ref="Z6" ca="1">SUM(IF(X6&lt;OFFSET($X$4,0,0,COUNT(X:X),1),1/COUNTIF(OFFSET($X$4,0,0,COUNT(X:X),1),OFFSET($X$4,0,0,COUNT(X:X),1))))+1</f>
        <v>22</v>
      </c>
      <c r="AA6" s="61" t="s">
        <v>275</v>
      </c>
    </row>
    <row r="7" spans="1:27" ht="15.5" x14ac:dyDescent="0.35">
      <c r="A7" s="71">
        <f>'Data Siswa'!A5</f>
        <v>4</v>
      </c>
      <c r="B7" s="78" t="str">
        <f>'Data Siswa'!B5</f>
        <v>AJUN</v>
      </c>
      <c r="C7" s="71" t="str">
        <f>'Data Siswa'!C5</f>
        <v>0582</v>
      </c>
      <c r="D7" s="16">
        <v>4</v>
      </c>
      <c r="E7" s="16">
        <v>5</v>
      </c>
      <c r="F7" s="16">
        <v>5</v>
      </c>
      <c r="G7" s="16">
        <v>4</v>
      </c>
      <c r="H7" s="16">
        <v>6</v>
      </c>
      <c r="I7" s="16"/>
      <c r="J7" s="16">
        <v>4</v>
      </c>
      <c r="K7" s="16">
        <v>4</v>
      </c>
      <c r="L7" s="16">
        <v>4</v>
      </c>
      <c r="M7" s="16">
        <v>4</v>
      </c>
      <c r="N7" s="16">
        <v>4</v>
      </c>
      <c r="O7" s="16">
        <v>4.5</v>
      </c>
      <c r="P7" s="16">
        <v>4.5</v>
      </c>
      <c r="Q7" s="16">
        <v>5</v>
      </c>
      <c r="R7" s="16">
        <v>4</v>
      </c>
      <c r="S7" s="16">
        <v>4.5</v>
      </c>
      <c r="T7" s="16"/>
      <c r="U7" s="72">
        <f t="shared" si="0"/>
        <v>66.5</v>
      </c>
      <c r="V7" s="73">
        <f t="shared" si="1"/>
        <v>4.4333333333333336</v>
      </c>
      <c r="W7" s="74"/>
      <c r="X7" s="72">
        <f>SUM('Nilai Tahriri'!AO5,'Nilai Syafahi'!U7)</f>
        <v>244.3</v>
      </c>
      <c r="Y7" s="73">
        <f>AVERAGE(D7:T7,'Nilai Tahriri'!D5:AN5)</f>
        <v>5.0895833333333336</v>
      </c>
      <c r="Z7" s="75">
        <f t="array" aca="1" ref="Z7" ca="1">SUM(IF(X7&lt;OFFSET($X$4,0,0,COUNT(X:X),1),1/COUNTIF(OFFSET($X$4,0,0,COUNT(X:X),1),OFFSET($X$4,0,0,COUNT(X:X),1))))+1</f>
        <v>17</v>
      </c>
      <c r="AA7" s="61" t="s">
        <v>275</v>
      </c>
    </row>
    <row r="8" spans="1:27" ht="15.5" x14ac:dyDescent="0.35">
      <c r="A8" s="71">
        <f>'Data Siswa'!A6</f>
        <v>5</v>
      </c>
      <c r="B8" s="78" t="str">
        <f>'Data Siswa'!B6</f>
        <v>DIMAS NURPUTRAWAN</v>
      </c>
      <c r="C8" s="71" t="str">
        <f>'Data Siswa'!C6</f>
        <v>0583</v>
      </c>
      <c r="D8" s="16">
        <v>4</v>
      </c>
      <c r="E8" s="16">
        <v>4.5</v>
      </c>
      <c r="F8" s="16">
        <v>4.5</v>
      </c>
      <c r="G8" s="16">
        <v>4</v>
      </c>
      <c r="H8" s="16">
        <v>4</v>
      </c>
      <c r="I8" s="16"/>
      <c r="J8" s="16">
        <v>4</v>
      </c>
      <c r="K8" s="16">
        <v>4</v>
      </c>
      <c r="L8" s="16">
        <v>4</v>
      </c>
      <c r="M8" s="16">
        <v>4</v>
      </c>
      <c r="N8" s="16">
        <v>4</v>
      </c>
      <c r="O8" s="16">
        <v>4.5</v>
      </c>
      <c r="P8" s="16">
        <v>4.5</v>
      </c>
      <c r="Q8" s="16">
        <v>5</v>
      </c>
      <c r="R8" s="16">
        <v>4</v>
      </c>
      <c r="S8" s="16">
        <v>4</v>
      </c>
      <c r="T8" s="16"/>
      <c r="U8" s="72">
        <f t="shared" si="0"/>
        <v>63</v>
      </c>
      <c r="V8" s="73">
        <f t="shared" si="1"/>
        <v>4.2</v>
      </c>
      <c r="W8" s="74"/>
      <c r="X8" s="72">
        <f>SUM('Nilai Tahriri'!AO6,'Nilai Syafahi'!U8)</f>
        <v>234</v>
      </c>
      <c r="Y8" s="73">
        <f>AVERAGE(D8:T8,'Nilai Tahriri'!D6:AN6)</f>
        <v>4.875</v>
      </c>
      <c r="Z8" s="75">
        <f t="array" aca="1" ref="Z8" ca="1">SUM(IF(X8&lt;OFFSET($X$4,0,0,COUNT(X:X),1),1/COUNTIF(OFFSET($X$4,0,0,COUNT(X:X),1),OFFSET($X$4,0,0,COUNT(X:X),1))))+1</f>
        <v>24</v>
      </c>
      <c r="AA8" s="61" t="s">
        <v>275</v>
      </c>
    </row>
    <row r="9" spans="1:27" ht="15.5" x14ac:dyDescent="0.35">
      <c r="A9" s="71">
        <f>'Data Siswa'!A7</f>
        <v>6</v>
      </c>
      <c r="B9" s="78" t="str">
        <f>'Data Siswa'!B7</f>
        <v>FARES CHAIDAR HAMZAN</v>
      </c>
      <c r="C9" s="71" t="str">
        <f>'Data Siswa'!C7</f>
        <v>0584</v>
      </c>
      <c r="D9" s="16">
        <v>4</v>
      </c>
      <c r="E9" s="16">
        <v>5</v>
      </c>
      <c r="F9" s="16">
        <v>5</v>
      </c>
      <c r="G9" s="16">
        <v>4</v>
      </c>
      <c r="H9" s="16">
        <v>5</v>
      </c>
      <c r="I9" s="16"/>
      <c r="J9" s="16">
        <v>4</v>
      </c>
      <c r="K9" s="16">
        <v>4</v>
      </c>
      <c r="L9" s="16">
        <v>4</v>
      </c>
      <c r="M9" s="16">
        <v>4</v>
      </c>
      <c r="N9" s="16">
        <v>4</v>
      </c>
      <c r="O9" s="16">
        <v>4.5</v>
      </c>
      <c r="P9" s="16">
        <v>4.5</v>
      </c>
      <c r="Q9" s="16">
        <v>5</v>
      </c>
      <c r="R9" s="16">
        <v>5</v>
      </c>
      <c r="S9" s="16">
        <v>6.5</v>
      </c>
      <c r="T9" s="16"/>
      <c r="U9" s="72">
        <f t="shared" si="0"/>
        <v>68.5</v>
      </c>
      <c r="V9" s="73">
        <f t="shared" si="1"/>
        <v>4.5666666666666664</v>
      </c>
      <c r="W9" s="74"/>
      <c r="X9" s="72">
        <f>SUM('Nilai Tahriri'!AO7,'Nilai Syafahi'!U9)</f>
        <v>246.2</v>
      </c>
      <c r="Y9" s="73">
        <f>AVERAGE(D9:T9,'Nilai Tahriri'!D7:AN7)</f>
        <v>5.1291666666666664</v>
      </c>
      <c r="Z9" s="75">
        <f t="array" aca="1" ref="Z9" ca="1">SUM(IF(X9&lt;OFFSET($X$4,0,0,COUNT(X:X),1),1/COUNTIF(OFFSET($X$4,0,0,COUNT(X:X),1),OFFSET($X$4,0,0,COUNT(X:X),1))))+1</f>
        <v>15</v>
      </c>
      <c r="AA9" s="61" t="s">
        <v>275</v>
      </c>
    </row>
    <row r="10" spans="1:27" ht="15.5" x14ac:dyDescent="0.35">
      <c r="A10" s="71">
        <f>'Data Siswa'!A8</f>
        <v>7</v>
      </c>
      <c r="B10" s="78" t="str">
        <f>'Data Siswa'!B8</f>
        <v>FAUZAN IQBAL MAULANA</v>
      </c>
      <c r="C10" s="71" t="str">
        <f>'Data Siswa'!C8</f>
        <v>0585</v>
      </c>
      <c r="D10" s="16">
        <v>4.5</v>
      </c>
      <c r="E10" s="16">
        <v>6</v>
      </c>
      <c r="F10" s="16">
        <v>6</v>
      </c>
      <c r="G10" s="16">
        <v>4.5</v>
      </c>
      <c r="H10" s="16">
        <v>6</v>
      </c>
      <c r="I10" s="16"/>
      <c r="J10" s="16">
        <v>4</v>
      </c>
      <c r="K10" s="16">
        <v>4</v>
      </c>
      <c r="L10" s="16">
        <v>4.5</v>
      </c>
      <c r="M10" s="16">
        <v>4.5</v>
      </c>
      <c r="N10" s="16">
        <v>5</v>
      </c>
      <c r="O10" s="16">
        <v>4.5</v>
      </c>
      <c r="P10" s="16">
        <v>4.5</v>
      </c>
      <c r="Q10" s="16">
        <v>5</v>
      </c>
      <c r="R10" s="16">
        <v>5</v>
      </c>
      <c r="S10" s="16">
        <v>7</v>
      </c>
      <c r="T10" s="16"/>
      <c r="U10" s="72">
        <f t="shared" si="0"/>
        <v>75</v>
      </c>
      <c r="V10" s="73">
        <f t="shared" si="1"/>
        <v>5</v>
      </c>
      <c r="W10" s="74"/>
      <c r="X10" s="72">
        <f>SUM('Nilai Tahriri'!AO8,'Nilai Syafahi'!U10)</f>
        <v>259.39999999999998</v>
      </c>
      <c r="Y10" s="73">
        <f>AVERAGE(D10:T10,'Nilai Tahriri'!D8:AN8)</f>
        <v>5.4041666666666659</v>
      </c>
      <c r="Z10" s="75">
        <f t="array" aca="1" ref="Z10" ca="1">SUM(IF(X10&lt;OFFSET($X$4,0,0,COUNT(X:X),1),1/COUNTIF(OFFSET($X$4,0,0,COUNT(X:X),1),OFFSET($X$4,0,0,COUNT(X:X),1))))+1</f>
        <v>9</v>
      </c>
      <c r="AA10" s="61" t="s">
        <v>275</v>
      </c>
    </row>
    <row r="11" spans="1:27" ht="15.5" x14ac:dyDescent="0.35">
      <c r="A11" s="71">
        <f>'Data Siswa'!A9</f>
        <v>8</v>
      </c>
      <c r="B11" s="78" t="str">
        <f>'Data Siswa'!B9</f>
        <v>HAFIEZD ARYANSYAH RAMADAN</v>
      </c>
      <c r="C11" s="71" t="str">
        <f>'Data Siswa'!C9</f>
        <v>0586</v>
      </c>
      <c r="D11" s="16">
        <v>4</v>
      </c>
      <c r="E11" s="16">
        <v>6</v>
      </c>
      <c r="F11" s="16">
        <v>5</v>
      </c>
      <c r="G11" s="16">
        <v>4</v>
      </c>
      <c r="H11" s="16">
        <v>4</v>
      </c>
      <c r="I11" s="16"/>
      <c r="J11" s="16">
        <v>4</v>
      </c>
      <c r="K11" s="16">
        <v>4.5</v>
      </c>
      <c r="L11" s="16">
        <v>4</v>
      </c>
      <c r="M11" s="16">
        <v>4</v>
      </c>
      <c r="N11" s="16">
        <v>4</v>
      </c>
      <c r="O11" s="16">
        <v>4.5</v>
      </c>
      <c r="P11" s="16">
        <v>4.5</v>
      </c>
      <c r="Q11" s="16">
        <v>5</v>
      </c>
      <c r="R11" s="16">
        <v>5</v>
      </c>
      <c r="S11" s="16">
        <v>4</v>
      </c>
      <c r="T11" s="16"/>
      <c r="U11" s="72">
        <f t="shared" si="0"/>
        <v>66.5</v>
      </c>
      <c r="V11" s="73">
        <f t="shared" si="1"/>
        <v>4.4333333333333336</v>
      </c>
      <c r="W11" s="74"/>
      <c r="X11" s="72">
        <f>SUM('Nilai Tahriri'!AO9,'Nilai Syafahi'!U11)</f>
        <v>240.5</v>
      </c>
      <c r="Y11" s="73">
        <f>AVERAGE(D11:T11,'Nilai Tahriri'!D9:AN9)</f>
        <v>5.010416666666667</v>
      </c>
      <c r="Z11" s="75">
        <f t="array" aca="1" ref="Z11" ca="1">SUM(IF(X11&lt;OFFSET($X$4,0,0,COUNT(X:X),1),1/COUNTIF(OFFSET($X$4,0,0,COUNT(X:X),1),OFFSET($X$4,0,0,COUNT(X:X),1))))+1</f>
        <v>20</v>
      </c>
      <c r="AA11" s="61" t="s">
        <v>275</v>
      </c>
    </row>
    <row r="12" spans="1:27" ht="15.5" x14ac:dyDescent="0.35">
      <c r="A12" s="71">
        <f>'Data Siswa'!A10</f>
        <v>9</v>
      </c>
      <c r="B12" s="78" t="str">
        <f>'Data Siswa'!B10</f>
        <v>HILDAN FAUZI</v>
      </c>
      <c r="C12" s="71" t="str">
        <f>'Data Siswa'!C10</f>
        <v>0587</v>
      </c>
      <c r="D12" s="16">
        <v>4</v>
      </c>
      <c r="E12" s="16">
        <v>5</v>
      </c>
      <c r="F12" s="16">
        <v>5</v>
      </c>
      <c r="G12" s="16">
        <v>4</v>
      </c>
      <c r="H12" s="16">
        <v>6</v>
      </c>
      <c r="I12" s="16"/>
      <c r="J12" s="16">
        <v>4</v>
      </c>
      <c r="K12" s="16">
        <v>4</v>
      </c>
      <c r="L12" s="16">
        <v>4</v>
      </c>
      <c r="M12" s="16">
        <v>4</v>
      </c>
      <c r="N12" s="16">
        <v>4</v>
      </c>
      <c r="O12" s="16">
        <v>5</v>
      </c>
      <c r="P12" s="16">
        <v>5</v>
      </c>
      <c r="Q12" s="16">
        <v>5</v>
      </c>
      <c r="R12" s="16">
        <v>5</v>
      </c>
      <c r="S12" s="16">
        <v>6</v>
      </c>
      <c r="T12" s="16"/>
      <c r="U12" s="72">
        <f t="shared" si="0"/>
        <v>70</v>
      </c>
      <c r="V12" s="73">
        <f t="shared" si="1"/>
        <v>4.666666666666667</v>
      </c>
      <c r="W12" s="74"/>
      <c r="X12" s="72">
        <f>SUM('Nilai Tahriri'!AO10,'Nilai Syafahi'!U12)</f>
        <v>253.6</v>
      </c>
      <c r="Y12" s="73">
        <f>AVERAGE(D12:T12,'Nilai Tahriri'!D10:AN10)</f>
        <v>5.2833333333333332</v>
      </c>
      <c r="Z12" s="75">
        <f t="array" aca="1" ref="Z12" ca="1">SUM(IF(X12&lt;OFFSET($X$4,0,0,COUNT(X:X),1),1/COUNTIF(OFFSET($X$4,0,0,COUNT(X:X),1),OFFSET($X$4,0,0,COUNT(X:X),1))))+1</f>
        <v>12</v>
      </c>
      <c r="AA12" s="61" t="s">
        <v>275</v>
      </c>
    </row>
    <row r="13" spans="1:27" ht="15.5" x14ac:dyDescent="0.35">
      <c r="A13" s="71">
        <f>'Data Siswa'!A11</f>
        <v>10</v>
      </c>
      <c r="B13" s="78" t="str">
        <f>'Data Siswa'!B11</f>
        <v>JEFRI FAJAR ALFIAN</v>
      </c>
      <c r="C13" s="71" t="str">
        <f>'Data Siswa'!C11</f>
        <v>0588</v>
      </c>
      <c r="D13" s="16">
        <v>4</v>
      </c>
      <c r="E13" s="16">
        <v>4.5</v>
      </c>
      <c r="F13" s="16">
        <v>4.5</v>
      </c>
      <c r="G13" s="16">
        <v>4</v>
      </c>
      <c r="H13" s="16">
        <v>4</v>
      </c>
      <c r="I13" s="16"/>
      <c r="J13" s="16">
        <v>4</v>
      </c>
      <c r="K13" s="16">
        <v>4</v>
      </c>
      <c r="L13" s="16">
        <v>4</v>
      </c>
      <c r="M13" s="16">
        <v>4</v>
      </c>
      <c r="N13" s="16">
        <v>4</v>
      </c>
      <c r="O13" s="16">
        <v>4.5</v>
      </c>
      <c r="P13" s="16">
        <v>4.5</v>
      </c>
      <c r="Q13" s="16">
        <v>6</v>
      </c>
      <c r="R13" s="16">
        <v>5.5</v>
      </c>
      <c r="S13" s="16">
        <v>4</v>
      </c>
      <c r="T13" s="16"/>
      <c r="U13" s="72">
        <f t="shared" si="0"/>
        <v>65.5</v>
      </c>
      <c r="V13" s="73">
        <f t="shared" si="1"/>
        <v>4.3666666666666663</v>
      </c>
      <c r="W13" s="74"/>
      <c r="X13" s="72">
        <f>SUM('Nilai Tahriri'!AO11,'Nilai Syafahi'!U13)</f>
        <v>238.1</v>
      </c>
      <c r="Y13" s="73">
        <f>AVERAGE(D13:T13,'Nilai Tahriri'!D11:AN11)</f>
        <v>4.9604166666666663</v>
      </c>
      <c r="Z13" s="75">
        <f t="array" aca="1" ref="Z13" ca="1">SUM(IF(X13&lt;OFFSET($X$4,0,0,COUNT(X:X),1),1/COUNTIF(OFFSET($X$4,0,0,COUNT(X:X),1),OFFSET($X$4,0,0,COUNT(X:X),1))))+1</f>
        <v>21</v>
      </c>
      <c r="AA13" s="61" t="s">
        <v>275</v>
      </c>
    </row>
    <row r="14" spans="1:27" ht="15.5" x14ac:dyDescent="0.35">
      <c r="A14" s="71">
        <f>'Data Siswa'!A12</f>
        <v>11</v>
      </c>
      <c r="B14" s="78" t="str">
        <f>'Data Siswa'!B12</f>
        <v>M. FAREL FAUZA ADITYA</v>
      </c>
      <c r="C14" s="71" t="str">
        <f>'Data Siswa'!C12</f>
        <v>0589</v>
      </c>
      <c r="D14" s="16">
        <v>4</v>
      </c>
      <c r="E14" s="16">
        <v>5</v>
      </c>
      <c r="F14" s="16">
        <v>5</v>
      </c>
      <c r="G14" s="16">
        <v>4</v>
      </c>
      <c r="H14" s="16">
        <v>7</v>
      </c>
      <c r="I14" s="16"/>
      <c r="J14" s="16">
        <v>6</v>
      </c>
      <c r="K14" s="16">
        <v>6</v>
      </c>
      <c r="L14" s="16">
        <v>6</v>
      </c>
      <c r="M14" s="16">
        <v>6</v>
      </c>
      <c r="N14" s="16">
        <v>6</v>
      </c>
      <c r="O14" s="16">
        <v>5</v>
      </c>
      <c r="P14" s="16">
        <v>5</v>
      </c>
      <c r="Q14" s="16">
        <v>5</v>
      </c>
      <c r="R14" s="16">
        <v>5</v>
      </c>
      <c r="S14" s="16">
        <v>6.5</v>
      </c>
      <c r="T14" s="16"/>
      <c r="U14" s="72">
        <f t="shared" si="0"/>
        <v>81.5</v>
      </c>
      <c r="V14" s="73">
        <f t="shared" si="1"/>
        <v>5.4333333333333336</v>
      </c>
      <c r="W14" s="74"/>
      <c r="X14" s="72">
        <f>SUM('Nilai Tahriri'!AO12,'Nilai Syafahi'!U14)</f>
        <v>272.3</v>
      </c>
      <c r="Y14" s="73">
        <f>AVERAGE(D14:T14,'Nilai Tahriri'!D12:AN12)</f>
        <v>5.6729166666666666</v>
      </c>
      <c r="Z14" s="75">
        <f t="array" aca="1" ref="Z14" ca="1">SUM(IF(X14&lt;OFFSET($X$4,0,0,COUNT(X:X),1),1/COUNTIF(OFFSET($X$4,0,0,COUNT(X:X),1),OFFSET($X$4,0,0,COUNT(X:X),1))))+1</f>
        <v>3</v>
      </c>
      <c r="AA14" s="61" t="s">
        <v>275</v>
      </c>
    </row>
    <row r="15" spans="1:27" ht="15.5" x14ac:dyDescent="0.35">
      <c r="A15" s="71">
        <f>'Data Siswa'!A13</f>
        <v>12</v>
      </c>
      <c r="B15" s="78" t="str">
        <f>'Data Siswa'!B13</f>
        <v>MUHAMAD RAIFAN SIDIQ</v>
      </c>
      <c r="C15" s="71" t="str">
        <f>'Data Siswa'!C13</f>
        <v>0590</v>
      </c>
      <c r="D15" s="16">
        <v>4</v>
      </c>
      <c r="E15" s="16">
        <v>5</v>
      </c>
      <c r="F15" s="16">
        <v>5</v>
      </c>
      <c r="G15" s="16">
        <v>4</v>
      </c>
      <c r="H15" s="16">
        <v>5</v>
      </c>
      <c r="I15" s="16"/>
      <c r="J15" s="16">
        <v>4</v>
      </c>
      <c r="K15" s="16">
        <v>4</v>
      </c>
      <c r="L15" s="16">
        <v>4</v>
      </c>
      <c r="M15" s="16">
        <v>4</v>
      </c>
      <c r="N15" s="16">
        <v>4</v>
      </c>
      <c r="O15" s="16">
        <v>4.5</v>
      </c>
      <c r="P15" s="16">
        <v>4.5</v>
      </c>
      <c r="Q15" s="16">
        <v>6</v>
      </c>
      <c r="R15" s="16">
        <v>5</v>
      </c>
      <c r="S15" s="16">
        <v>5</v>
      </c>
      <c r="T15" s="16"/>
      <c r="U15" s="72">
        <f t="shared" si="0"/>
        <v>68</v>
      </c>
      <c r="V15" s="73">
        <f t="shared" si="1"/>
        <v>4.5333333333333332</v>
      </c>
      <c r="W15" s="74"/>
      <c r="X15" s="72">
        <f>SUM('Nilai Tahriri'!AO13,'Nilai Syafahi'!U15)</f>
        <v>247.6</v>
      </c>
      <c r="Y15" s="73">
        <f>AVERAGE(D15:T15,'Nilai Tahriri'!D13:AN13)</f>
        <v>5.1583333333333332</v>
      </c>
      <c r="Z15" s="75">
        <f t="array" aca="1" ref="Z15" ca="1">SUM(IF(X15&lt;OFFSET($X$4,0,0,COUNT(X:X),1),1/COUNTIF(OFFSET($X$4,0,0,COUNT(X:X),1),OFFSET($X$4,0,0,COUNT(X:X),1))))+1</f>
        <v>14</v>
      </c>
      <c r="AA15" s="61" t="s">
        <v>275</v>
      </c>
    </row>
    <row r="16" spans="1:27" ht="15.5" x14ac:dyDescent="0.35">
      <c r="A16" s="71">
        <f>'Data Siswa'!A14</f>
        <v>13</v>
      </c>
      <c r="B16" s="78" t="str">
        <f>'Data Siswa'!B14</f>
        <v>MUHAMAD RIZKI</v>
      </c>
      <c r="C16" s="71" t="str">
        <f>'Data Siswa'!C14</f>
        <v>0591</v>
      </c>
      <c r="D16" s="16">
        <v>4</v>
      </c>
      <c r="E16" s="16">
        <v>5</v>
      </c>
      <c r="F16" s="16">
        <v>5</v>
      </c>
      <c r="G16" s="16">
        <v>4</v>
      </c>
      <c r="H16" s="16">
        <v>6</v>
      </c>
      <c r="I16" s="16"/>
      <c r="J16" s="16">
        <v>4</v>
      </c>
      <c r="K16" s="16">
        <v>4</v>
      </c>
      <c r="L16" s="16">
        <v>4</v>
      </c>
      <c r="M16" s="16">
        <v>4</v>
      </c>
      <c r="N16" s="16">
        <v>4</v>
      </c>
      <c r="O16" s="16">
        <v>6</v>
      </c>
      <c r="P16" s="16">
        <v>6</v>
      </c>
      <c r="Q16" s="16">
        <v>5</v>
      </c>
      <c r="R16" s="16">
        <v>5</v>
      </c>
      <c r="S16" s="16">
        <v>5.5</v>
      </c>
      <c r="T16" s="16"/>
      <c r="U16" s="72">
        <f t="shared" si="0"/>
        <v>71.5</v>
      </c>
      <c r="V16" s="73">
        <f t="shared" si="1"/>
        <v>4.7666666666666666</v>
      </c>
      <c r="W16" s="74"/>
      <c r="X16" s="72">
        <f>SUM('Nilai Tahriri'!AO14,'Nilai Syafahi'!U16)</f>
        <v>251.4</v>
      </c>
      <c r="Y16" s="73">
        <f>AVERAGE(D16:T16,'Nilai Tahriri'!D14:AN14)</f>
        <v>5.2374999999999998</v>
      </c>
      <c r="Z16" s="75">
        <f t="array" aca="1" ref="Z16" ca="1">SUM(IF(X16&lt;OFFSET($X$4,0,0,COUNT(X:X),1),1/COUNTIF(OFFSET($X$4,0,0,COUNT(X:X),1),OFFSET($X$4,0,0,COUNT(X:X),1))))+1</f>
        <v>13</v>
      </c>
      <c r="AA16" s="61" t="s">
        <v>275</v>
      </c>
    </row>
    <row r="17" spans="1:27" ht="15.5" x14ac:dyDescent="0.35">
      <c r="A17" s="71">
        <f>'Data Siswa'!A15</f>
        <v>14</v>
      </c>
      <c r="B17" s="78" t="str">
        <f>'Data Siswa'!B15</f>
        <v>MUHAMAD SYAHRUL BUDIMAN</v>
      </c>
      <c r="C17" s="71" t="str">
        <f>'Data Siswa'!C15</f>
        <v>0592</v>
      </c>
      <c r="D17" s="16">
        <v>4</v>
      </c>
      <c r="E17" s="16">
        <v>5</v>
      </c>
      <c r="F17" s="16">
        <v>5</v>
      </c>
      <c r="G17" s="16">
        <v>4</v>
      </c>
      <c r="H17" s="16">
        <v>4.5</v>
      </c>
      <c r="I17" s="16"/>
      <c r="J17" s="16">
        <v>4</v>
      </c>
      <c r="K17" s="16">
        <v>4</v>
      </c>
      <c r="L17" s="16">
        <v>4</v>
      </c>
      <c r="M17" s="16">
        <v>4</v>
      </c>
      <c r="N17" s="16">
        <v>4</v>
      </c>
      <c r="O17" s="16">
        <v>4.5</v>
      </c>
      <c r="P17" s="16">
        <v>4.5</v>
      </c>
      <c r="Q17" s="16">
        <v>5</v>
      </c>
      <c r="R17" s="16">
        <v>4.5</v>
      </c>
      <c r="S17" s="16">
        <v>5.5</v>
      </c>
      <c r="T17" s="16"/>
      <c r="U17" s="72">
        <f t="shared" si="0"/>
        <v>66.5</v>
      </c>
      <c r="V17" s="73">
        <f t="shared" si="1"/>
        <v>4.4333333333333336</v>
      </c>
      <c r="W17" s="74"/>
      <c r="X17" s="72">
        <f>SUM('Nilai Tahriri'!AO15,'Nilai Syafahi'!U17)</f>
        <v>245.1</v>
      </c>
      <c r="Y17" s="73">
        <f>AVERAGE(D17:T17,'Nilai Tahriri'!D15:AN15)</f>
        <v>5.1062500000000002</v>
      </c>
      <c r="Z17" s="75">
        <f t="array" aca="1" ref="Z17" ca="1">SUM(IF(X17&lt;OFFSET($X$4,0,0,COUNT(X:X),1),1/COUNTIF(OFFSET($X$4,0,0,COUNT(X:X),1),OFFSET($X$4,0,0,COUNT(X:X),1))))+1</f>
        <v>16</v>
      </c>
      <c r="AA17" s="61" t="s">
        <v>275</v>
      </c>
    </row>
    <row r="18" spans="1:27" ht="15.5" x14ac:dyDescent="0.35">
      <c r="A18" s="71">
        <f>'Data Siswa'!A16</f>
        <v>15</v>
      </c>
      <c r="B18" s="78" t="str">
        <f>'Data Siswa'!B16</f>
        <v>MUHAMAD WILDAN WIBISONO</v>
      </c>
      <c r="C18" s="71" t="str">
        <f>'Data Siswa'!C16</f>
        <v>0593</v>
      </c>
      <c r="D18" s="16">
        <v>4</v>
      </c>
      <c r="E18" s="16">
        <v>6</v>
      </c>
      <c r="F18" s="16">
        <v>5</v>
      </c>
      <c r="G18" s="16">
        <v>4</v>
      </c>
      <c r="H18" s="16">
        <v>6.5</v>
      </c>
      <c r="I18" s="16"/>
      <c r="J18" s="16">
        <v>4</v>
      </c>
      <c r="K18" s="16">
        <v>4</v>
      </c>
      <c r="L18" s="16">
        <v>4</v>
      </c>
      <c r="M18" s="16">
        <v>4</v>
      </c>
      <c r="N18" s="16">
        <v>4</v>
      </c>
      <c r="O18" s="16">
        <v>5</v>
      </c>
      <c r="P18" s="16">
        <v>5</v>
      </c>
      <c r="Q18" s="16">
        <v>7</v>
      </c>
      <c r="R18" s="16">
        <v>6</v>
      </c>
      <c r="S18" s="16">
        <v>6.5</v>
      </c>
      <c r="T18" s="16"/>
      <c r="U18" s="72">
        <f t="shared" si="0"/>
        <v>75</v>
      </c>
      <c r="V18" s="73">
        <f t="shared" si="1"/>
        <v>5</v>
      </c>
      <c r="W18" s="74"/>
      <c r="X18" s="72">
        <f>SUM('Nilai Tahriri'!AO16,'Nilai Syafahi'!U18)</f>
        <v>268.89999999999998</v>
      </c>
      <c r="Y18" s="73">
        <f>AVERAGE(D18:T18,'Nilai Tahriri'!D16:AN16)</f>
        <v>5.6020833333333329</v>
      </c>
      <c r="Z18" s="75">
        <f t="array" aca="1" ref="Z18" ca="1">SUM(IF(X18&lt;OFFSET($X$4,0,0,COUNT(X:X),1),1/COUNTIF(OFFSET($X$4,0,0,COUNT(X:X),1),OFFSET($X$4,0,0,COUNT(X:X),1))))+1</f>
        <v>5</v>
      </c>
      <c r="AA18" s="61" t="s">
        <v>275</v>
      </c>
    </row>
    <row r="19" spans="1:27" ht="15.5" x14ac:dyDescent="0.35">
      <c r="A19" s="71">
        <f>'Data Siswa'!A17</f>
        <v>16</v>
      </c>
      <c r="B19" s="78" t="str">
        <f>'Data Siswa'!B17</f>
        <v>MUHAMMAD AGIL LAHAM</v>
      </c>
      <c r="C19" s="71" t="str">
        <f>'Data Siswa'!C17</f>
        <v>0594</v>
      </c>
      <c r="D19" s="16">
        <v>4</v>
      </c>
      <c r="E19" s="16">
        <v>6</v>
      </c>
      <c r="F19" s="16">
        <v>5</v>
      </c>
      <c r="G19" s="16">
        <v>4</v>
      </c>
      <c r="H19" s="16">
        <v>7</v>
      </c>
      <c r="I19" s="16"/>
      <c r="J19" s="16">
        <v>4</v>
      </c>
      <c r="K19" s="16">
        <v>4</v>
      </c>
      <c r="L19" s="16">
        <v>4</v>
      </c>
      <c r="M19" s="16">
        <v>4</v>
      </c>
      <c r="N19" s="16">
        <v>4</v>
      </c>
      <c r="O19" s="16">
        <v>6.5</v>
      </c>
      <c r="P19" s="16">
        <v>6.5</v>
      </c>
      <c r="Q19" s="16">
        <v>7</v>
      </c>
      <c r="R19" s="16">
        <v>6</v>
      </c>
      <c r="S19" s="16">
        <v>8</v>
      </c>
      <c r="T19" s="16"/>
      <c r="U19" s="72">
        <f t="shared" si="0"/>
        <v>80</v>
      </c>
      <c r="V19" s="73">
        <f t="shared" si="1"/>
        <v>5.333333333333333</v>
      </c>
      <c r="W19" s="74"/>
      <c r="X19" s="72">
        <f>SUM('Nilai Tahriri'!AO17,'Nilai Syafahi'!U19)</f>
        <v>267.20000000000005</v>
      </c>
      <c r="Y19" s="73">
        <f>AVERAGE(D19:T19,'Nilai Tahriri'!D17:AN17)</f>
        <v>5.5666666666666673</v>
      </c>
      <c r="Z19" s="75">
        <f t="array" aca="1" ref="Z19" ca="1">SUM(IF(X19&lt;OFFSET($X$4,0,0,COUNT(X:X),1),1/COUNTIF(OFFSET($X$4,0,0,COUNT(X:X),1),OFFSET($X$4,0,0,COUNT(X:X),1))))+1</f>
        <v>6</v>
      </c>
      <c r="AA19" s="61" t="s">
        <v>275</v>
      </c>
    </row>
    <row r="20" spans="1:27" ht="15.5" x14ac:dyDescent="0.35">
      <c r="A20" s="71">
        <f>'Data Siswa'!A18</f>
        <v>17</v>
      </c>
      <c r="B20" s="78" t="str">
        <f>'Data Siswa'!B18</f>
        <v>MUHAMMAD ASSRORI</v>
      </c>
      <c r="C20" s="71" t="str">
        <f>'Data Siswa'!C18</f>
        <v>0595</v>
      </c>
      <c r="D20" s="16">
        <v>4</v>
      </c>
      <c r="E20" s="16">
        <v>5</v>
      </c>
      <c r="F20" s="16">
        <v>5</v>
      </c>
      <c r="G20" s="16">
        <v>4</v>
      </c>
      <c r="H20" s="16">
        <v>6.5</v>
      </c>
      <c r="I20" s="16"/>
      <c r="J20" s="16">
        <v>4</v>
      </c>
      <c r="K20" s="16">
        <v>4</v>
      </c>
      <c r="L20" s="16">
        <v>4</v>
      </c>
      <c r="M20" s="16">
        <v>4</v>
      </c>
      <c r="N20" s="16">
        <v>4</v>
      </c>
      <c r="O20" s="16">
        <v>6</v>
      </c>
      <c r="P20" s="16">
        <v>6</v>
      </c>
      <c r="Q20" s="16">
        <v>6</v>
      </c>
      <c r="R20" s="16">
        <v>5</v>
      </c>
      <c r="S20" s="16">
        <v>7</v>
      </c>
      <c r="T20" s="16"/>
      <c r="U20" s="72">
        <f t="shared" si="0"/>
        <v>74.5</v>
      </c>
      <c r="V20" s="73">
        <f t="shared" si="1"/>
        <v>4.9666666666666668</v>
      </c>
      <c r="W20" s="74"/>
      <c r="X20" s="72">
        <f>SUM('Nilai Tahriri'!AO18,'Nilai Syafahi'!U20)</f>
        <v>258</v>
      </c>
      <c r="Y20" s="73">
        <f>AVERAGE(D20:T20,'Nilai Tahriri'!D18:AN18)</f>
        <v>5.375</v>
      </c>
      <c r="Z20" s="75">
        <f t="array" aca="1" ref="Z20" ca="1">SUM(IF(X20&lt;OFFSET($X$4,0,0,COUNT(X:X),1),1/COUNTIF(OFFSET($X$4,0,0,COUNT(X:X),1),OFFSET($X$4,0,0,COUNT(X:X),1))))+1</f>
        <v>11</v>
      </c>
      <c r="AA20" s="61" t="s">
        <v>275</v>
      </c>
    </row>
    <row r="21" spans="1:27" ht="15.5" x14ac:dyDescent="0.35">
      <c r="A21" s="71">
        <f>'Data Siswa'!A19</f>
        <v>18</v>
      </c>
      <c r="B21" s="78" t="str">
        <f>'Data Siswa'!B19</f>
        <v>MUHAMMAD RIFKI ADI NUGROHO</v>
      </c>
      <c r="C21" s="71" t="str">
        <f>'Data Siswa'!C19</f>
        <v>0596</v>
      </c>
      <c r="D21" s="16">
        <v>4</v>
      </c>
      <c r="E21" s="16">
        <v>5</v>
      </c>
      <c r="F21" s="16">
        <v>5</v>
      </c>
      <c r="G21" s="16">
        <v>4</v>
      </c>
      <c r="H21" s="16">
        <v>7</v>
      </c>
      <c r="I21" s="16"/>
      <c r="J21" s="16">
        <v>4</v>
      </c>
      <c r="K21" s="16">
        <v>4</v>
      </c>
      <c r="L21" s="16">
        <v>5</v>
      </c>
      <c r="M21" s="16">
        <v>4</v>
      </c>
      <c r="N21" s="16">
        <v>4</v>
      </c>
      <c r="O21" s="16">
        <v>5</v>
      </c>
      <c r="P21" s="16">
        <v>5</v>
      </c>
      <c r="Q21" s="16">
        <v>6</v>
      </c>
      <c r="R21" s="16">
        <v>5</v>
      </c>
      <c r="S21" s="16">
        <v>7</v>
      </c>
      <c r="T21" s="16"/>
      <c r="U21" s="72">
        <f t="shared" si="0"/>
        <v>74</v>
      </c>
      <c r="V21" s="73">
        <f t="shared" si="1"/>
        <v>4.9333333333333336</v>
      </c>
      <c r="W21" s="74"/>
      <c r="X21" s="72">
        <f>SUM('Nilai Tahriri'!AO19,'Nilai Syafahi'!U21)</f>
        <v>266.3</v>
      </c>
      <c r="Y21" s="73">
        <f>AVERAGE(D21:T21,'Nilai Tahriri'!D19:AN19)</f>
        <v>5.5479166666666666</v>
      </c>
      <c r="Z21" s="75">
        <f t="array" aca="1" ref="Z21" ca="1">SUM(IF(X21&lt;OFFSET($X$4,0,0,COUNT(X:X),1),1/COUNTIF(OFFSET($X$4,0,0,COUNT(X:X),1),OFFSET($X$4,0,0,COUNT(X:X),1))))+1</f>
        <v>7</v>
      </c>
      <c r="AA21" s="61" t="s">
        <v>275</v>
      </c>
    </row>
    <row r="22" spans="1:27" ht="15.5" x14ac:dyDescent="0.35">
      <c r="A22" s="71">
        <f>'Data Siswa'!A20</f>
        <v>19</v>
      </c>
      <c r="B22" s="78" t="str">
        <f>'Data Siswa'!B20</f>
        <v>MUHAMMAD SULAMUT TAUFIQ</v>
      </c>
      <c r="C22" s="71" t="str">
        <f>'Data Siswa'!C20</f>
        <v>0597</v>
      </c>
      <c r="D22" s="16">
        <v>4</v>
      </c>
      <c r="E22" s="16">
        <v>6</v>
      </c>
      <c r="F22" s="16">
        <v>5</v>
      </c>
      <c r="G22" s="16">
        <v>4</v>
      </c>
      <c r="H22" s="16">
        <v>7</v>
      </c>
      <c r="I22" s="16"/>
      <c r="J22" s="16">
        <v>4</v>
      </c>
      <c r="K22" s="16">
        <v>4</v>
      </c>
      <c r="L22" s="16">
        <v>4</v>
      </c>
      <c r="M22" s="16">
        <v>4</v>
      </c>
      <c r="N22" s="16">
        <v>4</v>
      </c>
      <c r="O22" s="16">
        <v>4.5</v>
      </c>
      <c r="P22" s="16">
        <v>4.5</v>
      </c>
      <c r="Q22" s="16">
        <v>5</v>
      </c>
      <c r="R22" s="16">
        <v>5</v>
      </c>
      <c r="S22" s="16">
        <v>5.5</v>
      </c>
      <c r="T22" s="16"/>
      <c r="U22" s="72">
        <f t="shared" si="0"/>
        <v>70.5</v>
      </c>
      <c r="V22" s="73">
        <f t="shared" si="1"/>
        <v>4.7</v>
      </c>
      <c r="W22" s="74"/>
      <c r="X22" s="72">
        <f>SUM('Nilai Tahriri'!AO20,'Nilai Syafahi'!U22)</f>
        <v>258.70000000000005</v>
      </c>
      <c r="Y22" s="73">
        <f>AVERAGE(D22:T22,'Nilai Tahriri'!D20:AN20)</f>
        <v>5.3895833333333343</v>
      </c>
      <c r="Z22" s="75">
        <f t="array" aca="1" ref="Z22" ca="1">SUM(IF(X22&lt;OFFSET($X$4,0,0,COUNT(X:X),1),1/COUNTIF(OFFSET($X$4,0,0,COUNT(X:X),1),OFFSET($X$4,0,0,COUNT(X:X),1))))+1</f>
        <v>10</v>
      </c>
      <c r="AA22" s="61" t="s">
        <v>275</v>
      </c>
    </row>
    <row r="23" spans="1:27" ht="15.5" x14ac:dyDescent="0.35">
      <c r="A23" s="71">
        <f>'Data Siswa'!A21</f>
        <v>20</v>
      </c>
      <c r="B23" s="78" t="str">
        <f>'Data Siswa'!B21</f>
        <v>MUHAMMAD VIKRI ABDILLAH</v>
      </c>
      <c r="C23" s="71" t="str">
        <f>'Data Siswa'!C21</f>
        <v>0598</v>
      </c>
      <c r="D23" s="16">
        <v>4.5</v>
      </c>
      <c r="E23" s="16">
        <v>6</v>
      </c>
      <c r="F23" s="16">
        <v>6</v>
      </c>
      <c r="G23" s="16">
        <v>4.5</v>
      </c>
      <c r="H23" s="16">
        <v>8</v>
      </c>
      <c r="I23" s="16"/>
      <c r="J23" s="16">
        <v>6</v>
      </c>
      <c r="K23" s="16">
        <v>6</v>
      </c>
      <c r="L23" s="16">
        <v>6</v>
      </c>
      <c r="M23" s="16">
        <v>6</v>
      </c>
      <c r="N23" s="16">
        <v>6.5</v>
      </c>
      <c r="O23" s="16">
        <v>6.5</v>
      </c>
      <c r="P23" s="16">
        <v>6.5</v>
      </c>
      <c r="Q23" s="16">
        <v>5</v>
      </c>
      <c r="R23" s="16">
        <v>5</v>
      </c>
      <c r="S23" s="16">
        <v>6</v>
      </c>
      <c r="T23" s="16"/>
      <c r="U23" s="72">
        <f t="shared" si="0"/>
        <v>88.5</v>
      </c>
      <c r="V23" s="73">
        <f t="shared" si="1"/>
        <v>5.9</v>
      </c>
      <c r="W23" s="74"/>
      <c r="X23" s="72">
        <f>SUM('Nilai Tahriri'!AO21,'Nilai Syafahi'!U23)</f>
        <v>282.29999999999995</v>
      </c>
      <c r="Y23" s="73">
        <f>AVERAGE(D23:T23,'Nilai Tahriri'!D21:AN21)</f>
        <v>5.8812500000000005</v>
      </c>
      <c r="Z23" s="75">
        <f t="array" aca="1" ref="Z23" ca="1">SUM(IF(X23&lt;OFFSET($X$4,0,0,COUNT(X:X),1),1/COUNTIF(OFFSET($X$4,0,0,COUNT(X:X),1),OFFSET($X$4,0,0,COUNT(X:X),1))))+1</f>
        <v>1</v>
      </c>
      <c r="AA23" s="61" t="s">
        <v>275</v>
      </c>
    </row>
    <row r="24" spans="1:27" ht="15.5" x14ac:dyDescent="0.35">
      <c r="A24" s="71">
        <f>'Data Siswa'!A22</f>
        <v>21</v>
      </c>
      <c r="B24" s="78" t="str">
        <f>'Data Siswa'!B22</f>
        <v>NOVAL DZAKI</v>
      </c>
      <c r="C24" s="71" t="str">
        <f>'Data Siswa'!C22</f>
        <v>0599</v>
      </c>
      <c r="D24" s="16">
        <v>4</v>
      </c>
      <c r="E24" s="16">
        <v>4.5</v>
      </c>
      <c r="F24" s="16">
        <v>4.5</v>
      </c>
      <c r="G24" s="16">
        <v>4</v>
      </c>
      <c r="H24" s="16">
        <v>4.5</v>
      </c>
      <c r="I24" s="16"/>
      <c r="J24" s="16">
        <v>4</v>
      </c>
      <c r="K24" s="16">
        <v>4</v>
      </c>
      <c r="L24" s="16">
        <v>4</v>
      </c>
      <c r="M24" s="16">
        <v>4</v>
      </c>
      <c r="N24" s="16">
        <v>4</v>
      </c>
      <c r="O24" s="16">
        <v>4.5</v>
      </c>
      <c r="P24" s="16">
        <v>4.5</v>
      </c>
      <c r="Q24" s="16">
        <v>5</v>
      </c>
      <c r="R24" s="16">
        <v>5</v>
      </c>
      <c r="S24" s="16">
        <v>5</v>
      </c>
      <c r="T24" s="16"/>
      <c r="U24" s="72">
        <f t="shared" si="0"/>
        <v>65.5</v>
      </c>
      <c r="V24" s="73">
        <f t="shared" si="1"/>
        <v>4.3666666666666663</v>
      </c>
      <c r="W24" s="74"/>
      <c r="X24" s="72">
        <f>SUM('Nilai Tahriri'!AO22,'Nilai Syafahi'!U24)</f>
        <v>242.2</v>
      </c>
      <c r="Y24" s="73">
        <f>AVERAGE(D24:T24,'Nilai Tahriri'!D22:AN22)</f>
        <v>5.0458333333333334</v>
      </c>
      <c r="Z24" s="75">
        <f t="array" aca="1" ref="Z24" ca="1">SUM(IF(X24&lt;OFFSET($X$4,0,0,COUNT(X:X),1),1/COUNTIF(OFFSET($X$4,0,0,COUNT(X:X),1),OFFSET($X$4,0,0,COUNT(X:X),1))))+1</f>
        <v>19</v>
      </c>
      <c r="AA24" s="61" t="s">
        <v>275</v>
      </c>
    </row>
    <row r="25" spans="1:27" ht="15.5" x14ac:dyDescent="0.35">
      <c r="A25" s="71">
        <f>'Data Siswa'!A23</f>
        <v>22</v>
      </c>
      <c r="B25" s="78" t="str">
        <f>'Data Siswa'!B23</f>
        <v>NURHIDAYAT</v>
      </c>
      <c r="C25" s="71" t="str">
        <f>'Data Siswa'!C23</f>
        <v>0600</v>
      </c>
      <c r="D25" s="16">
        <v>4.5</v>
      </c>
      <c r="E25" s="16">
        <v>7</v>
      </c>
      <c r="F25" s="16">
        <v>6</v>
      </c>
      <c r="G25" s="16">
        <v>4.5</v>
      </c>
      <c r="H25" s="16">
        <v>5</v>
      </c>
      <c r="I25" s="16"/>
      <c r="J25" s="16">
        <v>4</v>
      </c>
      <c r="K25" s="16">
        <v>4.5</v>
      </c>
      <c r="L25" s="16">
        <v>4.5</v>
      </c>
      <c r="M25" s="16">
        <v>4.5</v>
      </c>
      <c r="N25" s="16">
        <v>4.5</v>
      </c>
      <c r="O25" s="16">
        <v>8</v>
      </c>
      <c r="P25" s="16">
        <v>8</v>
      </c>
      <c r="Q25" s="16">
        <v>7</v>
      </c>
      <c r="R25" s="16">
        <v>6</v>
      </c>
      <c r="S25" s="16">
        <v>6</v>
      </c>
      <c r="T25" s="16"/>
      <c r="U25" s="72">
        <f t="shared" si="0"/>
        <v>84</v>
      </c>
      <c r="V25" s="73">
        <f t="shared" si="1"/>
        <v>5.6</v>
      </c>
      <c r="W25" s="74"/>
      <c r="X25" s="72">
        <f>SUM('Nilai Tahriri'!AO23,'Nilai Syafahi'!U25)</f>
        <v>271.5</v>
      </c>
      <c r="Y25" s="73">
        <f>AVERAGE(D25:T25,'Nilai Tahriri'!D23:AN23)</f>
        <v>5.65625</v>
      </c>
      <c r="Z25" s="75">
        <f t="array" aca="1" ref="Z25" ca="1">SUM(IF(X25&lt;OFFSET($X$4,0,0,COUNT(X:X),1),1/COUNTIF(OFFSET($X$4,0,0,COUNT(X:X),1),OFFSET($X$4,0,0,COUNT(X:X),1))))+1</f>
        <v>4</v>
      </c>
      <c r="AA25" s="61" t="s">
        <v>275</v>
      </c>
    </row>
    <row r="26" spans="1:27" ht="15.5" x14ac:dyDescent="0.35">
      <c r="A26" s="71">
        <f>'Data Siswa'!A24</f>
        <v>23</v>
      </c>
      <c r="B26" s="78" t="str">
        <f>'Data Siswa'!B24</f>
        <v>RAYHAN HIKMAT CHANDRA</v>
      </c>
      <c r="C26" s="71" t="str">
        <f>'Data Siswa'!C24</f>
        <v>0601</v>
      </c>
      <c r="D26" s="16">
        <v>4</v>
      </c>
      <c r="E26" s="16">
        <v>5</v>
      </c>
      <c r="F26" s="16">
        <v>5</v>
      </c>
      <c r="G26" s="16">
        <v>4</v>
      </c>
      <c r="H26" s="16">
        <v>4.5</v>
      </c>
      <c r="I26" s="16"/>
      <c r="J26" s="16">
        <v>4.5</v>
      </c>
      <c r="K26" s="16">
        <v>4.5</v>
      </c>
      <c r="L26" s="16">
        <v>4</v>
      </c>
      <c r="M26" s="16">
        <v>4</v>
      </c>
      <c r="N26" s="16">
        <v>4</v>
      </c>
      <c r="O26" s="16">
        <v>4.5</v>
      </c>
      <c r="P26" s="16">
        <v>4.5</v>
      </c>
      <c r="Q26" s="16">
        <v>5</v>
      </c>
      <c r="R26" s="16">
        <v>5</v>
      </c>
      <c r="S26" s="16">
        <v>6.5</v>
      </c>
      <c r="T26" s="16"/>
      <c r="U26" s="72">
        <f t="shared" si="0"/>
        <v>69</v>
      </c>
      <c r="V26" s="73">
        <f t="shared" si="1"/>
        <v>4.5999999999999996</v>
      </c>
      <c r="W26" s="74"/>
      <c r="X26" s="72">
        <f>SUM('Nilai Tahriri'!AO24,'Nilai Syafahi'!U26)</f>
        <v>243.5</v>
      </c>
      <c r="Y26" s="73">
        <f>AVERAGE(D26:T26,'Nilai Tahriri'!D24:AN24)</f>
        <v>5.072916666666667</v>
      </c>
      <c r="Z26" s="75">
        <f t="array" aca="1" ref="Z26" ca="1">SUM(IF(X26&lt;OFFSET($X$4,0,0,COUNT(X:X),1),1/COUNTIF(OFFSET($X$4,0,0,COUNT(X:X),1),OFFSET($X$4,0,0,COUNT(X:X),1))))+1</f>
        <v>18</v>
      </c>
      <c r="AA26" s="61" t="s">
        <v>275</v>
      </c>
    </row>
    <row r="27" spans="1:27" ht="15.5" x14ac:dyDescent="0.35">
      <c r="A27" s="71">
        <f>'Data Siswa'!A25</f>
        <v>24</v>
      </c>
      <c r="B27" s="78" t="str">
        <f>'Data Siswa'!B25</f>
        <v>ZAKWAN ADIB</v>
      </c>
      <c r="C27" s="71" t="str">
        <f>'Data Siswa'!C25</f>
        <v>0602</v>
      </c>
      <c r="D27" s="16">
        <v>4.5</v>
      </c>
      <c r="E27" s="16">
        <v>6</v>
      </c>
      <c r="F27" s="16">
        <v>6</v>
      </c>
      <c r="G27" s="16">
        <v>4.5</v>
      </c>
      <c r="H27" s="16">
        <v>7</v>
      </c>
      <c r="I27" s="16"/>
      <c r="J27" s="16">
        <v>5</v>
      </c>
      <c r="K27" s="16">
        <v>5</v>
      </c>
      <c r="L27" s="16">
        <v>5</v>
      </c>
      <c r="M27" s="16">
        <v>5</v>
      </c>
      <c r="N27" s="16">
        <v>5</v>
      </c>
      <c r="O27" s="16">
        <v>8</v>
      </c>
      <c r="P27" s="16">
        <v>8</v>
      </c>
      <c r="Q27" s="16">
        <v>5</v>
      </c>
      <c r="R27" s="16">
        <v>5</v>
      </c>
      <c r="S27" s="16">
        <v>8</v>
      </c>
      <c r="T27" s="16"/>
      <c r="U27" s="72">
        <f t="shared" si="0"/>
        <v>87</v>
      </c>
      <c r="V27" s="73">
        <f t="shared" si="1"/>
        <v>5.8</v>
      </c>
      <c r="W27" s="74"/>
      <c r="X27" s="72">
        <f>SUM('Nilai Tahriri'!AO25,'Nilai Syafahi'!U27)</f>
        <v>276.10000000000002</v>
      </c>
      <c r="Y27" s="73">
        <f>AVERAGE(D27:T27,'Nilai Tahriri'!D25:AN25)</f>
        <v>5.7520833333333323</v>
      </c>
      <c r="Z27" s="75">
        <f t="array" aca="1" ref="Z27" ca="1">SUM(IF(X27&lt;OFFSET($X$4,0,0,COUNT(X:X),1),1/COUNTIF(OFFSET($X$4,0,0,COUNT(X:X),1),OFFSET($X$4,0,0,COUNT(X:X),1))))+1</f>
        <v>2</v>
      </c>
      <c r="AA27" s="61" t="s">
        <v>275</v>
      </c>
    </row>
    <row r="28" spans="1:27" ht="15.5" x14ac:dyDescent="0.35">
      <c r="A28" s="71">
        <f>'Data Siswa'!A26</f>
        <v>25</v>
      </c>
      <c r="B28" s="78">
        <f>'Data Siswa'!B26</f>
        <v>0</v>
      </c>
      <c r="C28" s="71">
        <f>'Data Siswa'!C26</f>
        <v>0</v>
      </c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72">
        <f t="shared" si="0"/>
        <v>0</v>
      </c>
      <c r="V28" s="73" t="e">
        <f t="shared" si="1"/>
        <v>#DIV/0!</v>
      </c>
      <c r="W28" s="74"/>
      <c r="X28" s="72">
        <f>SUM('Nilai Tahriri'!AO26,'Nilai Syafahi'!U28)</f>
        <v>0</v>
      </c>
      <c r="Y28" s="73" t="e">
        <f>AVERAGE(D28:T28,'Nilai Tahriri'!D26:AN26)</f>
        <v>#DIV/0!</v>
      </c>
      <c r="Z28" s="75">
        <f t="array" aca="1" ref="Z28" ca="1">SUM(IF(X28&lt;OFFSET($X$4,0,0,COUNT(X:X),1),1/COUNTIF(OFFSET($X$4,0,0,COUNT(X:X),1),OFFSET($X$4,0,0,COUNT(X:X),1))))+1</f>
        <v>25</v>
      </c>
      <c r="AA28" s="61" t="s">
        <v>275</v>
      </c>
    </row>
    <row r="29" spans="1:27" ht="15.5" x14ac:dyDescent="0.35">
      <c r="A29" s="71">
        <f>'Data Siswa'!A27</f>
        <v>26</v>
      </c>
      <c r="B29" s="78">
        <f>'Data Siswa'!B27</f>
        <v>0</v>
      </c>
      <c r="C29" s="71">
        <f>'Data Siswa'!C27</f>
        <v>0</v>
      </c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72">
        <f t="shared" si="0"/>
        <v>0</v>
      </c>
      <c r="V29" s="73" t="e">
        <f t="shared" si="1"/>
        <v>#DIV/0!</v>
      </c>
      <c r="W29" s="74"/>
      <c r="X29" s="72">
        <f>SUM('Nilai Tahriri'!AO27,'Nilai Syafahi'!U29)</f>
        <v>0</v>
      </c>
      <c r="Y29" s="73" t="e">
        <f>AVERAGE(D29:T29,'Nilai Tahriri'!D27:AN27)</f>
        <v>#DIV/0!</v>
      </c>
      <c r="Z29" s="75">
        <f t="array" aca="1" ref="Z29" ca="1">SUM(IF(X29&lt;OFFSET($X$4,0,0,COUNT(X:X),1),1/COUNTIF(OFFSET($X$4,0,0,COUNT(X:X),1),OFFSET($X$4,0,0,COUNT(X:X),1))))+1</f>
        <v>25</v>
      </c>
      <c r="AA29" s="61" t="s">
        <v>275</v>
      </c>
    </row>
    <row r="30" spans="1:27" ht="15.5" x14ac:dyDescent="0.35">
      <c r="A30" s="71">
        <f>'Data Siswa'!A28</f>
        <v>27</v>
      </c>
      <c r="B30" s="78">
        <f>'Data Siswa'!B28</f>
        <v>0</v>
      </c>
      <c r="C30" s="71">
        <f>'Data Siswa'!C28</f>
        <v>0</v>
      </c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72">
        <f t="shared" si="0"/>
        <v>0</v>
      </c>
      <c r="V30" s="73" t="e">
        <f t="shared" si="1"/>
        <v>#DIV/0!</v>
      </c>
      <c r="W30" s="74"/>
      <c r="X30" s="72">
        <f>SUM('Nilai Tahriri'!AO28,'Nilai Syafahi'!U30)</f>
        <v>0</v>
      </c>
      <c r="Y30" s="73" t="e">
        <f>AVERAGE(D30:T30,'Nilai Tahriri'!D28:AN28)</f>
        <v>#DIV/0!</v>
      </c>
      <c r="Z30" s="75">
        <f t="array" aca="1" ref="Z30" ca="1">SUM(IF(X30&lt;OFFSET($X$4,0,0,COUNT(X:X),1),1/COUNTIF(OFFSET($X$4,0,0,COUNT(X:X),1),OFFSET($X$4,0,0,COUNT(X:X),1))))+1</f>
        <v>25</v>
      </c>
      <c r="AA30" s="61" t="s">
        <v>275</v>
      </c>
    </row>
    <row r="31" spans="1:27" ht="15.5" x14ac:dyDescent="0.35">
      <c r="A31" s="71">
        <f>'Data Siswa'!A29</f>
        <v>28</v>
      </c>
      <c r="B31" s="78">
        <f>'Data Siswa'!B29</f>
        <v>0</v>
      </c>
      <c r="C31" s="71">
        <f>'Data Siswa'!C29</f>
        <v>0</v>
      </c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72">
        <f t="shared" si="0"/>
        <v>0</v>
      </c>
      <c r="V31" s="73" t="e">
        <f t="shared" si="1"/>
        <v>#DIV/0!</v>
      </c>
      <c r="W31" s="74"/>
      <c r="X31" s="72">
        <f>SUM('Nilai Tahriri'!AO29,'Nilai Syafahi'!U31)</f>
        <v>0</v>
      </c>
      <c r="Y31" s="73" t="e">
        <f>AVERAGE(D31:T31,'Nilai Tahriri'!D29:AN29)</f>
        <v>#DIV/0!</v>
      </c>
      <c r="Z31" s="75">
        <f t="array" aca="1" ref="Z31" ca="1">SUM(IF(X31&lt;OFFSET($X$4,0,0,COUNT(X:X),1),1/COUNTIF(OFFSET($X$4,0,0,COUNT(X:X),1),OFFSET($X$4,0,0,COUNT(X:X),1))))+1</f>
        <v>25</v>
      </c>
      <c r="AA31" s="61" t="s">
        <v>275</v>
      </c>
    </row>
    <row r="32" spans="1:27" ht="15.5" x14ac:dyDescent="0.35">
      <c r="A32" s="71">
        <f>'Data Siswa'!A30</f>
        <v>29</v>
      </c>
      <c r="B32" s="78">
        <f>'Data Siswa'!B30</f>
        <v>0</v>
      </c>
      <c r="C32" s="71">
        <f>'Data Siswa'!C30</f>
        <v>0</v>
      </c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72">
        <f t="shared" si="0"/>
        <v>0</v>
      </c>
      <c r="V32" s="73" t="e">
        <f t="shared" si="1"/>
        <v>#DIV/0!</v>
      </c>
      <c r="W32" s="74"/>
      <c r="X32" s="72">
        <f>SUM('Nilai Tahriri'!AO30,'Nilai Syafahi'!U32)</f>
        <v>0</v>
      </c>
      <c r="Y32" s="73" t="e">
        <f>AVERAGE(D32:T32,'Nilai Tahriri'!D30:AN30)</f>
        <v>#DIV/0!</v>
      </c>
      <c r="Z32" s="75">
        <f t="array" aca="1" ref="Z32" ca="1">SUM(IF(X32&lt;OFFSET($X$4,0,0,COUNT(X:X),1),1/COUNTIF(OFFSET($X$4,0,0,COUNT(X:X),1),OFFSET($X$4,0,0,COUNT(X:X),1))))+1</f>
        <v>25</v>
      </c>
      <c r="AA32" s="61" t="s">
        <v>275</v>
      </c>
    </row>
    <row r="33" spans="1:27" ht="15.5" x14ac:dyDescent="0.35">
      <c r="A33" s="71">
        <f>'Data Siswa'!A31</f>
        <v>30</v>
      </c>
      <c r="B33" s="78">
        <f>'Data Siswa'!B31</f>
        <v>0</v>
      </c>
      <c r="C33" s="71">
        <f>'Data Siswa'!C31</f>
        <v>0</v>
      </c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72">
        <f t="shared" si="0"/>
        <v>0</v>
      </c>
      <c r="V33" s="73" t="e">
        <f t="shared" si="1"/>
        <v>#DIV/0!</v>
      </c>
      <c r="W33" s="74"/>
      <c r="X33" s="72">
        <f>SUM('Nilai Tahriri'!AO31,'Nilai Syafahi'!U33)</f>
        <v>0</v>
      </c>
      <c r="Y33" s="73" t="e">
        <f>AVERAGE(D33:T33,'Nilai Tahriri'!D31:AN31)</f>
        <v>#DIV/0!</v>
      </c>
      <c r="Z33" s="75">
        <f t="array" aca="1" ref="Z33" ca="1">SUM(IF(X33&lt;OFFSET($X$4,0,0,COUNT(X:X),1),1/COUNTIF(OFFSET($X$4,0,0,COUNT(X:X),1),OFFSET($X$4,0,0,COUNT(X:X),1))))+1</f>
        <v>25</v>
      </c>
      <c r="AA33" s="61" t="s">
        <v>275</v>
      </c>
    </row>
    <row r="34" spans="1:27" ht="15.5" x14ac:dyDescent="0.35">
      <c r="A34" s="71">
        <f>'Data Siswa'!A32</f>
        <v>31</v>
      </c>
      <c r="B34" s="78">
        <f>'Data Siswa'!B32</f>
        <v>0</v>
      </c>
      <c r="C34" s="71">
        <f>'Data Siswa'!C32</f>
        <v>0</v>
      </c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72">
        <f t="shared" si="0"/>
        <v>0</v>
      </c>
      <c r="V34" s="73" t="e">
        <f t="shared" si="1"/>
        <v>#DIV/0!</v>
      </c>
      <c r="W34" s="74"/>
      <c r="X34" s="72">
        <f>SUM('Nilai Tahriri'!AO32,'Nilai Syafahi'!U34)</f>
        <v>0</v>
      </c>
      <c r="Y34" s="73" t="e">
        <f>AVERAGE(D34:T34,'Nilai Tahriri'!D32:AN32)</f>
        <v>#DIV/0!</v>
      </c>
      <c r="Z34" s="75">
        <f t="array" aca="1" ref="Z34" ca="1">SUM(IF(X34&lt;OFFSET($X$4,0,0,COUNT(X:X),1),1/COUNTIF(OFFSET($X$4,0,0,COUNT(X:X),1),OFFSET($X$4,0,0,COUNT(X:X),1))))+1</f>
        <v>25</v>
      </c>
      <c r="AA34" s="61" t="s">
        <v>275</v>
      </c>
    </row>
    <row r="35" spans="1:27" ht="15.5" x14ac:dyDescent="0.35">
      <c r="A35" s="71">
        <f>'Data Siswa'!A33</f>
        <v>32</v>
      </c>
      <c r="B35" s="78">
        <f>'Data Siswa'!B33</f>
        <v>0</v>
      </c>
      <c r="C35" s="71">
        <f>'Data Siswa'!C33</f>
        <v>0</v>
      </c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72">
        <f t="shared" si="0"/>
        <v>0</v>
      </c>
      <c r="V35" s="73" t="e">
        <f t="shared" si="1"/>
        <v>#DIV/0!</v>
      </c>
      <c r="W35" s="74"/>
      <c r="X35" s="72">
        <f>SUM('Nilai Tahriri'!AO33,'Nilai Syafahi'!U35)</f>
        <v>0</v>
      </c>
      <c r="Y35" s="73" t="e">
        <f>AVERAGE(D35:T35,'Nilai Tahriri'!D33:AN33)</f>
        <v>#DIV/0!</v>
      </c>
      <c r="Z35" s="75">
        <f t="array" aca="1" ref="Z35" ca="1">SUM(IF(X35&lt;OFFSET($X$4,0,0,COUNT(X:X),1),1/COUNTIF(OFFSET($X$4,0,0,COUNT(X:X),1),OFFSET($X$4,0,0,COUNT(X:X),1))))+1</f>
        <v>25</v>
      </c>
      <c r="AA35" s="61" t="s">
        <v>275</v>
      </c>
    </row>
    <row r="36" spans="1:27" ht="15.5" x14ac:dyDescent="0.35">
      <c r="A36" s="71">
        <f>'Data Siswa'!A34</f>
        <v>33</v>
      </c>
      <c r="B36" s="78">
        <f>'Data Siswa'!B34</f>
        <v>0</v>
      </c>
      <c r="C36" s="71">
        <f>'Data Siswa'!C34</f>
        <v>0</v>
      </c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72">
        <f t="shared" si="0"/>
        <v>0</v>
      </c>
      <c r="V36" s="73" t="e">
        <f t="shared" si="1"/>
        <v>#DIV/0!</v>
      </c>
      <c r="W36" s="74"/>
      <c r="X36" s="72">
        <f>SUM('Nilai Tahriri'!AO34,'Nilai Syafahi'!U36)</f>
        <v>0</v>
      </c>
      <c r="Y36" s="73" t="e">
        <f>AVERAGE(D36:T36,'Nilai Tahriri'!D34:AN34)</f>
        <v>#DIV/0!</v>
      </c>
      <c r="Z36" s="75">
        <f t="array" aca="1" ref="Z36" ca="1">SUM(IF(X36&lt;OFFSET($X$4,0,0,COUNT(X:X),1),1/COUNTIF(OFFSET($X$4,0,0,COUNT(X:X),1),OFFSET($X$4,0,0,COUNT(X:X),1))))+1</f>
        <v>25</v>
      </c>
      <c r="AA36" s="61" t="s">
        <v>275</v>
      </c>
    </row>
    <row r="37" spans="1:27" ht="15.5" x14ac:dyDescent="0.35">
      <c r="A37" s="71">
        <f>'Data Siswa'!A35</f>
        <v>34</v>
      </c>
      <c r="B37" s="78">
        <f>'Data Siswa'!B35</f>
        <v>0</v>
      </c>
      <c r="C37" s="71">
        <f>'Data Siswa'!C35</f>
        <v>0</v>
      </c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72">
        <f t="shared" si="0"/>
        <v>0</v>
      </c>
      <c r="V37" s="73" t="e">
        <f t="shared" si="1"/>
        <v>#DIV/0!</v>
      </c>
      <c r="W37" s="74"/>
      <c r="X37" s="72">
        <f>SUM('Nilai Tahriri'!AO35,'Nilai Syafahi'!U37)</f>
        <v>0</v>
      </c>
      <c r="Y37" s="73" t="e">
        <f>AVERAGE(D37:T37,'Nilai Tahriri'!D35:AN35)</f>
        <v>#DIV/0!</v>
      </c>
      <c r="Z37" s="75">
        <f t="array" aca="1" ref="Z37" ca="1">SUM(IF(X37&lt;OFFSET($X$4,0,0,COUNT(X:X),1),1/COUNTIF(OFFSET($X$4,0,0,COUNT(X:X),1),OFFSET($X$4,0,0,COUNT(X:X),1))))+1</f>
        <v>25</v>
      </c>
      <c r="AA37" s="61" t="s">
        <v>275</v>
      </c>
    </row>
    <row r="38" spans="1:27" ht="15.5" x14ac:dyDescent="0.35">
      <c r="A38" s="71">
        <f>'Data Siswa'!A36</f>
        <v>35</v>
      </c>
      <c r="B38" s="78">
        <f>'Data Siswa'!B36</f>
        <v>0</v>
      </c>
      <c r="C38" s="71">
        <f>'Data Siswa'!C36</f>
        <v>0</v>
      </c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72">
        <f t="shared" si="0"/>
        <v>0</v>
      </c>
      <c r="V38" s="73" t="e">
        <f t="shared" si="1"/>
        <v>#DIV/0!</v>
      </c>
      <c r="W38" s="74"/>
      <c r="X38" s="72">
        <f>SUM('Nilai Tahriri'!AO36,'Nilai Syafahi'!U38)</f>
        <v>0</v>
      </c>
      <c r="Y38" s="73" t="e">
        <f>AVERAGE(D38:T38,'Nilai Tahriri'!D36:AN36)</f>
        <v>#DIV/0!</v>
      </c>
      <c r="Z38" s="75">
        <f t="array" aca="1" ref="Z38" ca="1">SUM(IF(X38&lt;OFFSET($X$4,0,0,COUNT(X:X),1),1/COUNTIF(OFFSET($X$4,0,0,COUNT(X:X),1),OFFSET($X$4,0,0,COUNT(X:X),1))))+1</f>
        <v>25</v>
      </c>
      <c r="AA38" s="61" t="s">
        <v>275</v>
      </c>
    </row>
    <row r="39" spans="1:27" ht="15.5" x14ac:dyDescent="0.35">
      <c r="A39" s="71">
        <f>'Data Siswa'!A37</f>
        <v>36</v>
      </c>
      <c r="B39" s="78">
        <f>'Data Siswa'!B37</f>
        <v>0</v>
      </c>
      <c r="C39" s="71">
        <f>'Data Siswa'!C37</f>
        <v>0</v>
      </c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72">
        <f t="shared" si="0"/>
        <v>0</v>
      </c>
      <c r="V39" s="73" t="e">
        <f t="shared" si="1"/>
        <v>#DIV/0!</v>
      </c>
      <c r="W39" s="74"/>
      <c r="X39" s="72">
        <f>SUM('Nilai Tahriri'!AO37,'Nilai Syafahi'!U39)</f>
        <v>0</v>
      </c>
      <c r="Y39" s="73" t="e">
        <f>AVERAGE(D39:T39,'Nilai Tahriri'!D37:AN37)</f>
        <v>#DIV/0!</v>
      </c>
      <c r="Z39" s="75">
        <f t="array" aca="1" ref="Z39" ca="1">SUM(IF(X39&lt;OFFSET($X$4,0,0,COUNT(X:X),1),1/COUNTIF(OFFSET($X$4,0,0,COUNT(X:X),1),OFFSET($X$4,0,0,COUNT(X:X),1))))+1</f>
        <v>25</v>
      </c>
      <c r="AA39" s="61" t="s">
        <v>275</v>
      </c>
    </row>
    <row r="40" spans="1:27" ht="15.5" x14ac:dyDescent="0.35">
      <c r="A40" s="71">
        <f>'Data Siswa'!A38</f>
        <v>37</v>
      </c>
      <c r="B40" s="78">
        <f>'Data Siswa'!B38</f>
        <v>0</v>
      </c>
      <c r="C40" s="71">
        <f>'Data Siswa'!C38</f>
        <v>0</v>
      </c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72">
        <f t="shared" si="0"/>
        <v>0</v>
      </c>
      <c r="V40" s="73" t="e">
        <f t="shared" si="1"/>
        <v>#DIV/0!</v>
      </c>
      <c r="W40" s="74"/>
      <c r="X40" s="72">
        <f>SUM('Nilai Tahriri'!AO38,'Nilai Syafahi'!U40)</f>
        <v>0</v>
      </c>
      <c r="Y40" s="73" t="e">
        <f>AVERAGE(D40:T40,'Nilai Tahriri'!D38:AN38)</f>
        <v>#DIV/0!</v>
      </c>
      <c r="Z40" s="75">
        <f t="array" aca="1" ref="Z40" ca="1">SUM(IF(X40&lt;OFFSET($X$4,0,0,COUNT(X:X),1),1/COUNTIF(OFFSET($X$4,0,0,COUNT(X:X),1),OFFSET($X$4,0,0,COUNT(X:X),1))))+1</f>
        <v>25</v>
      </c>
      <c r="AA40" s="61" t="s">
        <v>275</v>
      </c>
    </row>
    <row r="41" spans="1:27" ht="15.5" x14ac:dyDescent="0.35">
      <c r="A41" s="71">
        <f>'Data Siswa'!A39</f>
        <v>38</v>
      </c>
      <c r="B41" s="78">
        <f>'Data Siswa'!B39</f>
        <v>0</v>
      </c>
      <c r="C41" s="71">
        <f>'Data Siswa'!C39</f>
        <v>0</v>
      </c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72">
        <f t="shared" si="0"/>
        <v>0</v>
      </c>
      <c r="V41" s="73" t="e">
        <f t="shared" si="1"/>
        <v>#DIV/0!</v>
      </c>
      <c r="W41" s="74"/>
      <c r="X41" s="72">
        <f>SUM('Nilai Tahriri'!AO39,'Nilai Syafahi'!U41)</f>
        <v>0</v>
      </c>
      <c r="Y41" s="73" t="e">
        <f>AVERAGE(D41:T41,'Nilai Tahriri'!D39:AN39)</f>
        <v>#DIV/0!</v>
      </c>
      <c r="Z41" s="75">
        <f t="array" aca="1" ref="Z41" ca="1">SUM(IF(X41&lt;OFFSET($X$4,0,0,COUNT(X:X),1),1/COUNTIF(OFFSET($X$4,0,0,COUNT(X:X),1),OFFSET($X$4,0,0,COUNT(X:X),1))))+1</f>
        <v>25</v>
      </c>
      <c r="AA41" s="61" t="s">
        <v>275</v>
      </c>
    </row>
    <row r="42" spans="1:27" ht="15.5" x14ac:dyDescent="0.35">
      <c r="A42" s="71">
        <f>'Data Siswa'!A40</f>
        <v>39</v>
      </c>
      <c r="B42" s="78">
        <f>'Data Siswa'!B40</f>
        <v>0</v>
      </c>
      <c r="C42" s="71">
        <f>'Data Siswa'!C40</f>
        <v>0</v>
      </c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72">
        <f t="shared" si="0"/>
        <v>0</v>
      </c>
      <c r="V42" s="73" t="e">
        <f t="shared" si="1"/>
        <v>#DIV/0!</v>
      </c>
      <c r="W42" s="74"/>
      <c r="X42" s="72">
        <f>SUM('Nilai Tahriri'!AO40,'Nilai Syafahi'!U42)</f>
        <v>0</v>
      </c>
      <c r="Y42" s="73" t="e">
        <f>AVERAGE(D42:T42,'Nilai Tahriri'!D40:AN40)</f>
        <v>#DIV/0!</v>
      </c>
      <c r="Z42" s="75">
        <f t="array" aca="1" ref="Z42" ca="1">SUM(IF(X42&lt;OFFSET($X$4,0,0,COUNT(X:X),1),1/COUNTIF(OFFSET($X$4,0,0,COUNT(X:X),1),OFFSET($X$4,0,0,COUNT(X:X),1))))+1</f>
        <v>25</v>
      </c>
      <c r="AA42" s="61" t="s">
        <v>275</v>
      </c>
    </row>
    <row r="43" spans="1:27" ht="15.5" x14ac:dyDescent="0.35">
      <c r="A43" s="71">
        <f>'Data Siswa'!A41</f>
        <v>40</v>
      </c>
      <c r="B43" s="78">
        <f>'Data Siswa'!B41</f>
        <v>0</v>
      </c>
      <c r="C43" s="71">
        <f>'Data Siswa'!C41</f>
        <v>0</v>
      </c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72">
        <f t="shared" si="0"/>
        <v>0</v>
      </c>
      <c r="V43" s="73" t="e">
        <f t="shared" si="1"/>
        <v>#DIV/0!</v>
      </c>
      <c r="W43" s="76"/>
      <c r="X43" s="72">
        <f>SUM('Nilai Tahriri'!AO41,'Nilai Syafahi'!U43)</f>
        <v>0</v>
      </c>
      <c r="Y43" s="73" t="e">
        <f>AVERAGE(D43:T43,'Nilai Tahriri'!D41:AN41)</f>
        <v>#DIV/0!</v>
      </c>
      <c r="Z43" s="75">
        <f t="array" aca="1" ref="Z43" ca="1">SUM(IF(X43&lt;OFFSET($X$4,0,0,COUNT(X:X),1),1/COUNTIF(OFFSET($X$4,0,0,COUNT(X:X),1),OFFSET($X$4,0,0,COUNT(X:X),1))))+1</f>
        <v>25</v>
      </c>
      <c r="AA43" s="61" t="s">
        <v>275</v>
      </c>
    </row>
    <row r="44" spans="1:27" x14ac:dyDescent="0.35">
      <c r="V44" s="21"/>
      <c r="AA44" s="21"/>
    </row>
  </sheetData>
  <sheetProtection algorithmName="SHA-512" hashValue="TAhmn5DDz2ka+wYCz3bFzpoaY6q2VLvbYhLb6E7SQNd4+Kwbr9aNObXo0IDKrQIFTsCJSCqk6PgJJKTNpqHquQ==" saltValue="bEkBprAtVomAU3c4Xb711A==" spinCount="100000" sheet="1" objects="1" scenarios="1"/>
  <mergeCells count="16">
    <mergeCell ref="AA2:AA3"/>
    <mergeCell ref="W1:W3"/>
    <mergeCell ref="X1:Z1"/>
    <mergeCell ref="X2:X3"/>
    <mergeCell ref="Y2:Y3"/>
    <mergeCell ref="Z2:Z3"/>
    <mergeCell ref="J2:N2"/>
    <mergeCell ref="O2:T2"/>
    <mergeCell ref="A1:C1"/>
    <mergeCell ref="D1:V1"/>
    <mergeCell ref="D2:I2"/>
    <mergeCell ref="V2:V3"/>
    <mergeCell ref="A2:A3"/>
    <mergeCell ref="B2:B3"/>
    <mergeCell ref="C2:C3"/>
    <mergeCell ref="U2:U3"/>
  </mergeCells>
  <conditionalFormatting sqref="D4:T43">
    <cfRule type="cellIs" dxfId="1" priority="1" operator="greaterThan">
      <formula>8</formula>
    </cfRule>
    <cfRule type="cellIs" dxfId="0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4:T43" xr:uid="{7626FE72-7A90-417E-8952-36259B04530A}"/>
  </dataValidations>
  <pageMargins left="0.7" right="0.7" top="0.75" bottom="0.75" header="0.3" footer="0.3"/>
  <pageSetup paperSize="5" scale="8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9"/>
  <dimension ref="A1:J43"/>
  <sheetViews>
    <sheetView workbookViewId="0">
      <selection activeCell="D1" sqref="D1:I1"/>
    </sheetView>
  </sheetViews>
  <sheetFormatPr defaultRowHeight="14.5" x14ac:dyDescent="0.35"/>
  <cols>
    <col min="1" max="1" width="6.54296875" customWidth="1"/>
    <col min="2" max="2" width="32.453125" customWidth="1"/>
    <col min="3" max="3" width="5.81640625" bestFit="1" customWidth="1"/>
    <col min="10" max="10" width="39.453125" customWidth="1"/>
  </cols>
  <sheetData>
    <row r="1" spans="1:10" x14ac:dyDescent="0.35">
      <c r="A1" s="160" t="s">
        <v>175</v>
      </c>
      <c r="B1" s="160"/>
      <c r="C1" s="160"/>
      <c r="D1" s="158" t="s">
        <v>91</v>
      </c>
      <c r="E1" s="158"/>
      <c r="F1" s="158"/>
      <c r="G1" s="158"/>
      <c r="H1" s="158"/>
      <c r="I1" s="158"/>
      <c r="J1" s="155" t="s">
        <v>177</v>
      </c>
    </row>
    <row r="2" spans="1:10" ht="14.5" customHeight="1" x14ac:dyDescent="0.35">
      <c r="A2" s="146" t="s">
        <v>76</v>
      </c>
      <c r="B2" s="144" t="s">
        <v>55</v>
      </c>
      <c r="C2" s="146" t="s">
        <v>54</v>
      </c>
      <c r="D2" s="159" t="s">
        <v>31</v>
      </c>
      <c r="E2" s="159"/>
      <c r="F2" s="159"/>
      <c r="G2" s="157" t="s">
        <v>84</v>
      </c>
      <c r="H2" s="157"/>
      <c r="I2" s="157"/>
      <c r="J2" s="156"/>
    </row>
    <row r="3" spans="1:10" ht="53.15" customHeight="1" x14ac:dyDescent="0.35">
      <c r="A3" s="146"/>
      <c r="B3" s="144"/>
      <c r="C3" s="146"/>
      <c r="D3" s="18" t="s">
        <v>34</v>
      </c>
      <c r="E3" s="18" t="s">
        <v>93</v>
      </c>
      <c r="F3" s="18" t="s">
        <v>32</v>
      </c>
      <c r="G3" s="18" t="s">
        <v>96</v>
      </c>
      <c r="H3" s="18" t="s">
        <v>94</v>
      </c>
      <c r="I3" s="18" t="s">
        <v>95</v>
      </c>
      <c r="J3" s="60" t="s">
        <v>45</v>
      </c>
    </row>
    <row r="4" spans="1:10" ht="15.5" x14ac:dyDescent="0.35">
      <c r="A4" s="10">
        <f>'Data Siswa'!A2</f>
        <v>1</v>
      </c>
      <c r="B4" s="80" t="str">
        <f>'Data Siswa'!B2</f>
        <v>ABDUL ALLAN DARMA SAPUTRA</v>
      </c>
      <c r="C4" s="10" t="str">
        <f>'Data Siswa'!C2</f>
        <v>0579</v>
      </c>
      <c r="D4" s="20">
        <v>8</v>
      </c>
      <c r="E4" s="20">
        <v>8</v>
      </c>
      <c r="F4" s="20">
        <v>8</v>
      </c>
      <c r="G4" s="119" t="s">
        <v>275</v>
      </c>
      <c r="H4" s="119" t="s">
        <v>275</v>
      </c>
      <c r="I4" s="119" t="s">
        <v>275</v>
      </c>
      <c r="J4" s="2" t="s">
        <v>343</v>
      </c>
    </row>
    <row r="5" spans="1:10" ht="15.5" x14ac:dyDescent="0.35">
      <c r="A5" s="10">
        <f>'Data Siswa'!A3</f>
        <v>2</v>
      </c>
      <c r="B5" s="81" t="str">
        <f>'Data Siswa'!B3</f>
        <v>ABDUL FATTAH</v>
      </c>
      <c r="C5" s="10" t="str">
        <f>'Data Siswa'!C3</f>
        <v>0580</v>
      </c>
      <c r="D5" s="20">
        <v>7</v>
      </c>
      <c r="E5" s="20">
        <v>7</v>
      </c>
      <c r="F5" s="20">
        <v>7</v>
      </c>
      <c r="G5" s="119" t="s">
        <v>275</v>
      </c>
      <c r="H5" s="119" t="s">
        <v>275</v>
      </c>
      <c r="I5" s="119" t="s">
        <v>275</v>
      </c>
      <c r="J5" s="2" t="s">
        <v>343</v>
      </c>
    </row>
    <row r="6" spans="1:10" ht="15.5" x14ac:dyDescent="0.35">
      <c r="A6" s="10">
        <f>'Data Siswa'!A4</f>
        <v>3</v>
      </c>
      <c r="B6" s="80" t="str">
        <f>'Data Siswa'!B4</f>
        <v>AHMAD FAJAR MUNAWWAR KHOLILY</v>
      </c>
      <c r="C6" s="10" t="str">
        <f>'Data Siswa'!C4</f>
        <v>0581</v>
      </c>
      <c r="D6" s="20">
        <v>8</v>
      </c>
      <c r="E6" s="20">
        <v>8</v>
      </c>
      <c r="F6" s="20">
        <v>8</v>
      </c>
      <c r="G6" s="119" t="s">
        <v>275</v>
      </c>
      <c r="H6" s="119" t="s">
        <v>275</v>
      </c>
      <c r="I6" s="119" t="s">
        <v>275</v>
      </c>
      <c r="J6" s="2" t="s">
        <v>343</v>
      </c>
    </row>
    <row r="7" spans="1:10" ht="15.5" x14ac:dyDescent="0.35">
      <c r="A7" s="10">
        <f>'Data Siswa'!A5</f>
        <v>4</v>
      </c>
      <c r="B7" s="80" t="str">
        <f>'Data Siswa'!B5</f>
        <v>AJUN</v>
      </c>
      <c r="C7" s="10" t="str">
        <f>'Data Siswa'!C5</f>
        <v>0582</v>
      </c>
      <c r="D7" s="20">
        <v>8</v>
      </c>
      <c r="E7" s="20">
        <v>8</v>
      </c>
      <c r="F7" s="20">
        <v>8</v>
      </c>
      <c r="G7" s="119" t="s">
        <v>275</v>
      </c>
      <c r="H7" s="119" t="s">
        <v>275</v>
      </c>
      <c r="I7" s="119" t="s">
        <v>275</v>
      </c>
      <c r="J7" s="2" t="s">
        <v>343</v>
      </c>
    </row>
    <row r="8" spans="1:10" ht="15.5" x14ac:dyDescent="0.35">
      <c r="A8" s="10">
        <f>'Data Siswa'!A6</f>
        <v>5</v>
      </c>
      <c r="B8" s="80" t="str">
        <f>'Data Siswa'!B6</f>
        <v>DIMAS NURPUTRAWAN</v>
      </c>
      <c r="C8" s="10" t="str">
        <f>'Data Siswa'!C6</f>
        <v>0583</v>
      </c>
      <c r="D8" s="20">
        <v>7</v>
      </c>
      <c r="E8" s="20">
        <v>8</v>
      </c>
      <c r="F8" s="20">
        <v>7</v>
      </c>
      <c r="G8" s="119" t="s">
        <v>275</v>
      </c>
      <c r="H8" s="119" t="s">
        <v>275</v>
      </c>
      <c r="I8" s="119" t="s">
        <v>275</v>
      </c>
      <c r="J8" s="2" t="s">
        <v>343</v>
      </c>
    </row>
    <row r="9" spans="1:10" ht="15.5" x14ac:dyDescent="0.35">
      <c r="A9" s="10">
        <f>'Data Siswa'!A7</f>
        <v>6</v>
      </c>
      <c r="B9" s="80" t="str">
        <f>'Data Siswa'!B7</f>
        <v>FARES CHAIDAR HAMZAN</v>
      </c>
      <c r="C9" s="10" t="str">
        <f>'Data Siswa'!C7</f>
        <v>0584</v>
      </c>
      <c r="D9" s="20">
        <v>8</v>
      </c>
      <c r="E9" s="20">
        <v>8</v>
      </c>
      <c r="F9" s="20">
        <v>8</v>
      </c>
      <c r="G9" s="119" t="s">
        <v>275</v>
      </c>
      <c r="H9" s="119" t="s">
        <v>275</v>
      </c>
      <c r="I9" s="119" t="s">
        <v>275</v>
      </c>
      <c r="J9" s="2" t="s">
        <v>343</v>
      </c>
    </row>
    <row r="10" spans="1:10" ht="15.5" x14ac:dyDescent="0.35">
      <c r="A10" s="10">
        <f>'Data Siswa'!A8</f>
        <v>7</v>
      </c>
      <c r="B10" s="80" t="str">
        <f>'Data Siswa'!B8</f>
        <v>FAUZAN IQBAL MAULANA</v>
      </c>
      <c r="C10" s="10" t="str">
        <f>'Data Siswa'!C8</f>
        <v>0585</v>
      </c>
      <c r="D10" s="20">
        <v>8</v>
      </c>
      <c r="E10" s="20">
        <v>8</v>
      </c>
      <c r="F10" s="20">
        <v>8</v>
      </c>
      <c r="G10" s="119" t="s">
        <v>275</v>
      </c>
      <c r="H10" s="119" t="s">
        <v>275</v>
      </c>
      <c r="I10" s="119" t="s">
        <v>275</v>
      </c>
      <c r="J10" s="2" t="s">
        <v>343</v>
      </c>
    </row>
    <row r="11" spans="1:10" ht="15.5" x14ac:dyDescent="0.35">
      <c r="A11" s="10">
        <f>'Data Siswa'!A9</f>
        <v>8</v>
      </c>
      <c r="B11" s="80" t="str">
        <f>'Data Siswa'!B9</f>
        <v>HAFIEZD ARYANSYAH RAMADAN</v>
      </c>
      <c r="C11" s="10" t="str">
        <f>'Data Siswa'!C9</f>
        <v>0586</v>
      </c>
      <c r="D11" s="20">
        <v>8</v>
      </c>
      <c r="E11" s="20">
        <v>8</v>
      </c>
      <c r="F11" s="20">
        <v>8</v>
      </c>
      <c r="G11" s="119" t="s">
        <v>275</v>
      </c>
      <c r="H11" s="119" t="s">
        <v>275</v>
      </c>
      <c r="I11" s="119" t="s">
        <v>275</v>
      </c>
      <c r="J11" s="2" t="s">
        <v>343</v>
      </c>
    </row>
    <row r="12" spans="1:10" ht="15.5" x14ac:dyDescent="0.35">
      <c r="A12" s="10">
        <f>'Data Siswa'!A10</f>
        <v>9</v>
      </c>
      <c r="B12" s="80" t="str">
        <f>'Data Siswa'!B10</f>
        <v>HILDAN FAUZI</v>
      </c>
      <c r="C12" s="10" t="str">
        <f>'Data Siswa'!C10</f>
        <v>0587</v>
      </c>
      <c r="D12" s="20">
        <v>8</v>
      </c>
      <c r="E12" s="20">
        <v>8</v>
      </c>
      <c r="F12" s="20">
        <v>8</v>
      </c>
      <c r="G12" s="119" t="s">
        <v>275</v>
      </c>
      <c r="H12" s="119" t="s">
        <v>275</v>
      </c>
      <c r="I12" s="119" t="s">
        <v>275</v>
      </c>
      <c r="J12" s="2" t="s">
        <v>343</v>
      </c>
    </row>
    <row r="13" spans="1:10" ht="15.5" x14ac:dyDescent="0.35">
      <c r="A13" s="10">
        <f>'Data Siswa'!A11</f>
        <v>10</v>
      </c>
      <c r="B13" s="80" t="str">
        <f>'Data Siswa'!B11</f>
        <v>JEFRI FAJAR ALFIAN</v>
      </c>
      <c r="C13" s="10" t="str">
        <f>'Data Siswa'!C11</f>
        <v>0588</v>
      </c>
      <c r="D13" s="20">
        <v>8</v>
      </c>
      <c r="E13" s="20">
        <v>8</v>
      </c>
      <c r="F13" s="20">
        <v>8</v>
      </c>
      <c r="G13" s="119" t="s">
        <v>275</v>
      </c>
      <c r="H13" s="119" t="s">
        <v>275</v>
      </c>
      <c r="I13" s="119" t="s">
        <v>275</v>
      </c>
      <c r="J13" s="2" t="s">
        <v>343</v>
      </c>
    </row>
    <row r="14" spans="1:10" ht="15.5" x14ac:dyDescent="0.35">
      <c r="A14" s="10">
        <f>'Data Siswa'!A12</f>
        <v>11</v>
      </c>
      <c r="B14" s="80" t="str">
        <f>'Data Siswa'!B12</f>
        <v>M. FAREL FAUZA ADITYA</v>
      </c>
      <c r="C14" s="10" t="str">
        <f>'Data Siswa'!C12</f>
        <v>0589</v>
      </c>
      <c r="D14" s="20">
        <v>8</v>
      </c>
      <c r="E14" s="20">
        <v>8</v>
      </c>
      <c r="F14" s="20">
        <v>8</v>
      </c>
      <c r="G14" s="119" t="s">
        <v>275</v>
      </c>
      <c r="H14" s="119" t="s">
        <v>275</v>
      </c>
      <c r="I14" s="119" t="s">
        <v>275</v>
      </c>
      <c r="J14" s="2" t="s">
        <v>343</v>
      </c>
    </row>
    <row r="15" spans="1:10" ht="15.5" x14ac:dyDescent="0.35">
      <c r="A15" s="10">
        <f>'Data Siswa'!A13</f>
        <v>12</v>
      </c>
      <c r="B15" s="80" t="str">
        <f>'Data Siswa'!B13</f>
        <v>MUHAMAD RAIFAN SIDIQ</v>
      </c>
      <c r="C15" s="10" t="str">
        <f>'Data Siswa'!C13</f>
        <v>0590</v>
      </c>
      <c r="D15" s="20">
        <v>8</v>
      </c>
      <c r="E15" s="20">
        <v>8</v>
      </c>
      <c r="F15" s="20">
        <v>8</v>
      </c>
      <c r="G15" s="119" t="s">
        <v>275</v>
      </c>
      <c r="H15" s="119" t="s">
        <v>275</v>
      </c>
      <c r="I15" s="119" t="s">
        <v>275</v>
      </c>
      <c r="J15" s="2" t="s">
        <v>343</v>
      </c>
    </row>
    <row r="16" spans="1:10" ht="15.5" x14ac:dyDescent="0.35">
      <c r="A16" s="10">
        <f>'Data Siswa'!A14</f>
        <v>13</v>
      </c>
      <c r="B16" s="80" t="str">
        <f>'Data Siswa'!B14</f>
        <v>MUHAMAD RIZKI</v>
      </c>
      <c r="C16" s="10" t="str">
        <f>'Data Siswa'!C14</f>
        <v>0591</v>
      </c>
      <c r="D16" s="20">
        <v>8</v>
      </c>
      <c r="E16" s="20">
        <v>8</v>
      </c>
      <c r="F16" s="20">
        <v>8</v>
      </c>
      <c r="G16" s="119" t="s">
        <v>275</v>
      </c>
      <c r="H16" s="119" t="s">
        <v>275</v>
      </c>
      <c r="I16" s="119" t="s">
        <v>275</v>
      </c>
      <c r="J16" s="2" t="s">
        <v>343</v>
      </c>
    </row>
    <row r="17" spans="1:10" ht="15.5" x14ac:dyDescent="0.35">
      <c r="A17" s="10">
        <f>'Data Siswa'!A15</f>
        <v>14</v>
      </c>
      <c r="B17" s="80" t="str">
        <f>'Data Siswa'!B15</f>
        <v>MUHAMAD SYAHRUL BUDIMAN</v>
      </c>
      <c r="C17" s="10" t="str">
        <f>'Data Siswa'!C15</f>
        <v>0592</v>
      </c>
      <c r="D17" s="20">
        <v>8</v>
      </c>
      <c r="E17" s="20">
        <v>8</v>
      </c>
      <c r="F17" s="20">
        <v>8</v>
      </c>
      <c r="G17" s="119" t="s">
        <v>275</v>
      </c>
      <c r="H17" s="119" t="s">
        <v>275</v>
      </c>
      <c r="I17" s="119" t="s">
        <v>275</v>
      </c>
      <c r="J17" s="2" t="s">
        <v>343</v>
      </c>
    </row>
    <row r="18" spans="1:10" ht="15.5" x14ac:dyDescent="0.35">
      <c r="A18" s="10">
        <f>'Data Siswa'!A16</f>
        <v>15</v>
      </c>
      <c r="B18" s="80" t="str">
        <f>'Data Siswa'!B16</f>
        <v>MUHAMAD WILDAN WIBISONO</v>
      </c>
      <c r="C18" s="10" t="str">
        <f>'Data Siswa'!C16</f>
        <v>0593</v>
      </c>
      <c r="D18" s="20">
        <v>8</v>
      </c>
      <c r="E18" s="20">
        <v>8</v>
      </c>
      <c r="F18" s="20">
        <v>8</v>
      </c>
      <c r="G18" s="119" t="s">
        <v>275</v>
      </c>
      <c r="H18" s="119" t="s">
        <v>275</v>
      </c>
      <c r="I18" s="119" t="s">
        <v>275</v>
      </c>
      <c r="J18" s="2" t="s">
        <v>343</v>
      </c>
    </row>
    <row r="19" spans="1:10" ht="15.5" x14ac:dyDescent="0.35">
      <c r="A19" s="10">
        <f>'Data Siswa'!A17</f>
        <v>16</v>
      </c>
      <c r="B19" s="80" t="str">
        <f>'Data Siswa'!B17</f>
        <v>MUHAMMAD AGIL LAHAM</v>
      </c>
      <c r="C19" s="10" t="str">
        <f>'Data Siswa'!C17</f>
        <v>0594</v>
      </c>
      <c r="D19" s="20">
        <v>8</v>
      </c>
      <c r="E19" s="20">
        <v>8</v>
      </c>
      <c r="F19" s="20">
        <v>8</v>
      </c>
      <c r="G19" s="119" t="s">
        <v>275</v>
      </c>
      <c r="H19" s="119" t="s">
        <v>275</v>
      </c>
      <c r="I19" s="119" t="s">
        <v>275</v>
      </c>
      <c r="J19" s="2" t="s">
        <v>343</v>
      </c>
    </row>
    <row r="20" spans="1:10" ht="15.5" x14ac:dyDescent="0.35">
      <c r="A20" s="10">
        <f>'Data Siswa'!A18</f>
        <v>17</v>
      </c>
      <c r="B20" s="80" t="str">
        <f>'Data Siswa'!B18</f>
        <v>MUHAMMAD ASSRORI</v>
      </c>
      <c r="C20" s="10" t="str">
        <f>'Data Siswa'!C18</f>
        <v>0595</v>
      </c>
      <c r="D20" s="20">
        <v>8</v>
      </c>
      <c r="E20" s="20">
        <v>8</v>
      </c>
      <c r="F20" s="20">
        <v>8</v>
      </c>
      <c r="G20" s="119" t="s">
        <v>275</v>
      </c>
      <c r="H20" s="119" t="s">
        <v>275</v>
      </c>
      <c r="I20" s="119" t="s">
        <v>275</v>
      </c>
      <c r="J20" s="2" t="s">
        <v>343</v>
      </c>
    </row>
    <row r="21" spans="1:10" ht="15.5" x14ac:dyDescent="0.35">
      <c r="A21" s="10">
        <f>'Data Siswa'!A19</f>
        <v>18</v>
      </c>
      <c r="B21" s="80" t="str">
        <f>'Data Siswa'!B19</f>
        <v>MUHAMMAD RIFKI ADI NUGROHO</v>
      </c>
      <c r="C21" s="10" t="str">
        <f>'Data Siswa'!C19</f>
        <v>0596</v>
      </c>
      <c r="D21" s="20">
        <v>8</v>
      </c>
      <c r="E21" s="20">
        <v>8</v>
      </c>
      <c r="F21" s="20">
        <v>8</v>
      </c>
      <c r="G21" s="119" t="s">
        <v>275</v>
      </c>
      <c r="H21" s="119" t="s">
        <v>275</v>
      </c>
      <c r="I21" s="119" t="s">
        <v>275</v>
      </c>
      <c r="J21" s="2" t="s">
        <v>343</v>
      </c>
    </row>
    <row r="22" spans="1:10" ht="15.5" x14ac:dyDescent="0.35">
      <c r="A22" s="10">
        <f>'Data Siswa'!A20</f>
        <v>19</v>
      </c>
      <c r="B22" s="80" t="str">
        <f>'Data Siswa'!B20</f>
        <v>MUHAMMAD SULAMUT TAUFIQ</v>
      </c>
      <c r="C22" s="10" t="str">
        <f>'Data Siswa'!C20</f>
        <v>0597</v>
      </c>
      <c r="D22" s="20">
        <v>8</v>
      </c>
      <c r="E22" s="20">
        <v>8</v>
      </c>
      <c r="F22" s="20">
        <v>8</v>
      </c>
      <c r="G22" s="119" t="s">
        <v>275</v>
      </c>
      <c r="H22" s="119" t="s">
        <v>275</v>
      </c>
      <c r="I22" s="119" t="s">
        <v>275</v>
      </c>
      <c r="J22" s="2" t="s">
        <v>343</v>
      </c>
    </row>
    <row r="23" spans="1:10" ht="15.5" x14ac:dyDescent="0.35">
      <c r="A23" s="10">
        <f>'Data Siswa'!A21</f>
        <v>20</v>
      </c>
      <c r="B23" s="80" t="str">
        <f>'Data Siswa'!B21</f>
        <v>MUHAMMAD VIKRI ABDILLAH</v>
      </c>
      <c r="C23" s="10" t="str">
        <f>'Data Siswa'!C21</f>
        <v>0598</v>
      </c>
      <c r="D23" s="20">
        <v>8</v>
      </c>
      <c r="E23" s="20">
        <v>8</v>
      </c>
      <c r="F23" s="20">
        <v>8</v>
      </c>
      <c r="G23" s="119" t="s">
        <v>275</v>
      </c>
      <c r="H23" s="119" t="s">
        <v>275</v>
      </c>
      <c r="I23" s="119" t="s">
        <v>275</v>
      </c>
      <c r="J23" s="2" t="s">
        <v>343</v>
      </c>
    </row>
    <row r="24" spans="1:10" ht="15.5" x14ac:dyDescent="0.35">
      <c r="A24" s="10">
        <f>'Data Siswa'!A22</f>
        <v>21</v>
      </c>
      <c r="B24" s="80" t="str">
        <f>'Data Siswa'!B22</f>
        <v>NOVAL DZAKI</v>
      </c>
      <c r="C24" s="10" t="str">
        <f>'Data Siswa'!C22</f>
        <v>0599</v>
      </c>
      <c r="D24" s="20">
        <v>8</v>
      </c>
      <c r="E24" s="20">
        <v>8</v>
      </c>
      <c r="F24" s="20">
        <v>8</v>
      </c>
      <c r="G24" s="119" t="s">
        <v>275</v>
      </c>
      <c r="H24" s="119" t="s">
        <v>275</v>
      </c>
      <c r="I24" s="119" t="s">
        <v>275</v>
      </c>
      <c r="J24" s="2" t="s">
        <v>343</v>
      </c>
    </row>
    <row r="25" spans="1:10" ht="15.5" x14ac:dyDescent="0.35">
      <c r="A25" s="10">
        <f>'Data Siswa'!A23</f>
        <v>22</v>
      </c>
      <c r="B25" s="80" t="str">
        <f>'Data Siswa'!B23</f>
        <v>NURHIDAYAT</v>
      </c>
      <c r="C25" s="10" t="str">
        <f>'Data Siswa'!C23</f>
        <v>0600</v>
      </c>
      <c r="D25" s="20">
        <v>8</v>
      </c>
      <c r="E25" s="20">
        <v>8</v>
      </c>
      <c r="F25" s="20">
        <v>8</v>
      </c>
      <c r="G25" s="119" t="s">
        <v>275</v>
      </c>
      <c r="H25" s="119" t="s">
        <v>275</v>
      </c>
      <c r="I25" s="119" t="s">
        <v>275</v>
      </c>
      <c r="J25" s="2" t="s">
        <v>343</v>
      </c>
    </row>
    <row r="26" spans="1:10" ht="15.5" x14ac:dyDescent="0.35">
      <c r="A26" s="10">
        <f>'Data Siswa'!A24</f>
        <v>23</v>
      </c>
      <c r="B26" s="80" t="str">
        <f>'Data Siswa'!B24</f>
        <v>RAYHAN HIKMAT CHANDRA</v>
      </c>
      <c r="C26" s="10" t="str">
        <f>'Data Siswa'!C24</f>
        <v>0601</v>
      </c>
      <c r="D26" s="20">
        <v>8</v>
      </c>
      <c r="E26" s="20">
        <v>8</v>
      </c>
      <c r="F26" s="20">
        <v>8</v>
      </c>
      <c r="G26" s="119" t="s">
        <v>275</v>
      </c>
      <c r="H26" s="119" t="s">
        <v>275</v>
      </c>
      <c r="I26" s="119" t="s">
        <v>275</v>
      </c>
      <c r="J26" s="2" t="s">
        <v>343</v>
      </c>
    </row>
    <row r="27" spans="1:10" ht="15.5" x14ac:dyDescent="0.35">
      <c r="A27" s="10">
        <f>'Data Siswa'!A25</f>
        <v>24</v>
      </c>
      <c r="B27" s="80" t="str">
        <f>'Data Siswa'!B25</f>
        <v>ZAKWAN ADIB</v>
      </c>
      <c r="C27" s="10" t="str">
        <f>'Data Siswa'!C25</f>
        <v>0602</v>
      </c>
      <c r="D27" s="20">
        <v>8</v>
      </c>
      <c r="E27" s="20">
        <v>8</v>
      </c>
      <c r="F27" s="20">
        <v>8</v>
      </c>
      <c r="G27" s="119" t="s">
        <v>275</v>
      </c>
      <c r="H27" s="119" t="s">
        <v>275</v>
      </c>
      <c r="I27" s="119" t="s">
        <v>275</v>
      </c>
      <c r="J27" s="2" t="s">
        <v>343</v>
      </c>
    </row>
    <row r="28" spans="1:10" ht="15.5" x14ac:dyDescent="0.35">
      <c r="A28" s="10">
        <f>'Data Siswa'!A26</f>
        <v>25</v>
      </c>
      <c r="B28" s="80">
        <f>'Data Siswa'!B26</f>
        <v>0</v>
      </c>
      <c r="C28" s="10">
        <f>'Data Siswa'!C26</f>
        <v>0</v>
      </c>
      <c r="D28" s="20"/>
      <c r="E28" s="20"/>
      <c r="F28" s="20"/>
      <c r="G28" s="20"/>
      <c r="H28" s="20"/>
      <c r="I28" s="20"/>
      <c r="J28" s="2"/>
    </row>
    <row r="29" spans="1:10" ht="15.5" x14ac:dyDescent="0.35">
      <c r="A29" s="10">
        <f>'Data Siswa'!A27</f>
        <v>26</v>
      </c>
      <c r="B29" s="80">
        <f>'Data Siswa'!B27</f>
        <v>0</v>
      </c>
      <c r="C29" s="10">
        <f>'Data Siswa'!C27</f>
        <v>0</v>
      </c>
      <c r="D29" s="20"/>
      <c r="E29" s="20"/>
      <c r="F29" s="20"/>
      <c r="G29" s="20"/>
      <c r="H29" s="20"/>
      <c r="I29" s="20"/>
      <c r="J29" s="2"/>
    </row>
    <row r="30" spans="1:10" ht="15.5" x14ac:dyDescent="0.35">
      <c r="A30" s="10">
        <f>'Data Siswa'!A28</f>
        <v>27</v>
      </c>
      <c r="B30" s="80">
        <f>'Data Siswa'!B28</f>
        <v>0</v>
      </c>
      <c r="C30" s="10">
        <f>'Data Siswa'!C28</f>
        <v>0</v>
      </c>
      <c r="D30" s="20"/>
      <c r="E30" s="20"/>
      <c r="F30" s="20"/>
      <c r="G30" s="20"/>
      <c r="H30" s="20"/>
      <c r="I30" s="20"/>
      <c r="J30" s="2"/>
    </row>
    <row r="31" spans="1:10" ht="15.5" x14ac:dyDescent="0.35">
      <c r="A31" s="10">
        <f>'Data Siswa'!A29</f>
        <v>28</v>
      </c>
      <c r="B31" s="80">
        <f>'Data Siswa'!B29</f>
        <v>0</v>
      </c>
      <c r="C31" s="10">
        <f>'Data Siswa'!C29</f>
        <v>0</v>
      </c>
      <c r="D31" s="20"/>
      <c r="E31" s="20"/>
      <c r="F31" s="20"/>
      <c r="G31" s="20"/>
      <c r="H31" s="20"/>
      <c r="I31" s="20"/>
      <c r="J31" s="2"/>
    </row>
    <row r="32" spans="1:10" ht="15.5" x14ac:dyDescent="0.35">
      <c r="A32" s="10">
        <f>'Data Siswa'!A30</f>
        <v>29</v>
      </c>
      <c r="B32" s="80">
        <f>'Data Siswa'!B30</f>
        <v>0</v>
      </c>
      <c r="C32" s="10">
        <f>'Data Siswa'!C30</f>
        <v>0</v>
      </c>
      <c r="D32" s="20"/>
      <c r="E32" s="20"/>
      <c r="F32" s="20"/>
      <c r="G32" s="20"/>
      <c r="H32" s="20"/>
      <c r="I32" s="20"/>
      <c r="J32" s="2"/>
    </row>
    <row r="33" spans="1:10" ht="15.5" x14ac:dyDescent="0.35">
      <c r="A33" s="10">
        <f>'Data Siswa'!A31</f>
        <v>30</v>
      </c>
      <c r="B33" s="80">
        <f>'Data Siswa'!B31</f>
        <v>0</v>
      </c>
      <c r="C33" s="10">
        <f>'Data Siswa'!C31</f>
        <v>0</v>
      </c>
      <c r="D33" s="20"/>
      <c r="E33" s="20"/>
      <c r="F33" s="20"/>
      <c r="G33" s="20"/>
      <c r="H33" s="20"/>
      <c r="I33" s="20"/>
      <c r="J33" s="2"/>
    </row>
    <row r="34" spans="1:10" ht="15.5" x14ac:dyDescent="0.35">
      <c r="A34" s="10">
        <f>'Data Siswa'!A32</f>
        <v>31</v>
      </c>
      <c r="B34" s="80">
        <f>'Data Siswa'!B32</f>
        <v>0</v>
      </c>
      <c r="C34" s="10">
        <f>'Data Siswa'!C32</f>
        <v>0</v>
      </c>
      <c r="D34" s="20"/>
      <c r="E34" s="20"/>
      <c r="F34" s="20"/>
      <c r="G34" s="20"/>
      <c r="H34" s="20"/>
      <c r="I34" s="20"/>
      <c r="J34" s="2"/>
    </row>
    <row r="35" spans="1:10" ht="15.5" x14ac:dyDescent="0.35">
      <c r="A35" s="10">
        <f>'Data Siswa'!A33</f>
        <v>32</v>
      </c>
      <c r="B35" s="80">
        <f>'Data Siswa'!B33</f>
        <v>0</v>
      </c>
      <c r="C35" s="10">
        <f>'Data Siswa'!C33</f>
        <v>0</v>
      </c>
      <c r="D35" s="20"/>
      <c r="E35" s="20"/>
      <c r="F35" s="20"/>
      <c r="G35" s="20"/>
      <c r="H35" s="20"/>
      <c r="I35" s="20"/>
      <c r="J35" s="2"/>
    </row>
    <row r="36" spans="1:10" ht="15.5" x14ac:dyDescent="0.35">
      <c r="A36" s="10">
        <f>'Data Siswa'!A34</f>
        <v>33</v>
      </c>
      <c r="B36" s="80">
        <f>'Data Siswa'!B34</f>
        <v>0</v>
      </c>
      <c r="C36" s="10">
        <f>'Data Siswa'!C34</f>
        <v>0</v>
      </c>
      <c r="D36" s="20"/>
      <c r="E36" s="20"/>
      <c r="F36" s="20"/>
      <c r="G36" s="20"/>
      <c r="H36" s="20"/>
      <c r="I36" s="20"/>
      <c r="J36" s="2"/>
    </row>
    <row r="37" spans="1:10" ht="15.5" x14ac:dyDescent="0.35">
      <c r="A37" s="10">
        <f>'Data Siswa'!A35</f>
        <v>34</v>
      </c>
      <c r="B37" s="80">
        <f>'Data Siswa'!B35</f>
        <v>0</v>
      </c>
      <c r="C37" s="10">
        <f>'Data Siswa'!C35</f>
        <v>0</v>
      </c>
      <c r="D37" s="20"/>
      <c r="E37" s="20"/>
      <c r="F37" s="20"/>
      <c r="G37" s="20"/>
      <c r="H37" s="20"/>
      <c r="I37" s="20"/>
      <c r="J37" s="2"/>
    </row>
    <row r="38" spans="1:10" ht="15.5" x14ac:dyDescent="0.35">
      <c r="A38" s="10">
        <f>'Data Siswa'!A36</f>
        <v>35</v>
      </c>
      <c r="B38" s="80">
        <f>'Data Siswa'!B36</f>
        <v>0</v>
      </c>
      <c r="C38" s="10">
        <f>'Data Siswa'!C36</f>
        <v>0</v>
      </c>
      <c r="D38" s="20"/>
      <c r="E38" s="20"/>
      <c r="F38" s="20"/>
      <c r="G38" s="20"/>
      <c r="H38" s="20"/>
      <c r="I38" s="20"/>
      <c r="J38" s="2"/>
    </row>
    <row r="39" spans="1:10" ht="15.5" x14ac:dyDescent="0.35">
      <c r="A39" s="10">
        <f>'Data Siswa'!A37</f>
        <v>36</v>
      </c>
      <c r="B39" s="80">
        <f>'Data Siswa'!B37</f>
        <v>0</v>
      </c>
      <c r="C39" s="10">
        <f>'Data Siswa'!C37</f>
        <v>0</v>
      </c>
      <c r="D39" s="20"/>
      <c r="E39" s="20"/>
      <c r="F39" s="20"/>
      <c r="G39" s="20"/>
      <c r="H39" s="20"/>
      <c r="I39" s="20"/>
      <c r="J39" s="2"/>
    </row>
    <row r="40" spans="1:10" ht="15.5" x14ac:dyDescent="0.35">
      <c r="A40" s="10">
        <f>'Data Siswa'!A38</f>
        <v>37</v>
      </c>
      <c r="B40" s="80">
        <f>'Data Siswa'!B38</f>
        <v>0</v>
      </c>
      <c r="C40" s="10">
        <f>'Data Siswa'!C38</f>
        <v>0</v>
      </c>
      <c r="D40" s="20"/>
      <c r="E40" s="20"/>
      <c r="F40" s="20"/>
      <c r="G40" s="20"/>
      <c r="H40" s="20"/>
      <c r="I40" s="20"/>
      <c r="J40" s="2"/>
    </row>
    <row r="41" spans="1:10" ht="15.5" x14ac:dyDescent="0.35">
      <c r="A41" s="10">
        <f>'Data Siswa'!A39</f>
        <v>38</v>
      </c>
      <c r="B41" s="80">
        <f>'Data Siswa'!B39</f>
        <v>0</v>
      </c>
      <c r="C41" s="10">
        <f>'Data Siswa'!C39</f>
        <v>0</v>
      </c>
      <c r="D41" s="20"/>
      <c r="E41" s="20"/>
      <c r="F41" s="20"/>
      <c r="G41" s="20"/>
      <c r="H41" s="20"/>
      <c r="I41" s="20"/>
      <c r="J41" s="2"/>
    </row>
    <row r="42" spans="1:10" ht="15.5" x14ac:dyDescent="0.35">
      <c r="A42" s="10">
        <f>'Data Siswa'!A40</f>
        <v>39</v>
      </c>
      <c r="B42" s="80">
        <f>'Data Siswa'!B40</f>
        <v>0</v>
      </c>
      <c r="C42" s="10">
        <f>'Data Siswa'!C40</f>
        <v>0</v>
      </c>
      <c r="D42" s="20"/>
      <c r="E42" s="20"/>
      <c r="F42" s="20"/>
      <c r="G42" s="20"/>
      <c r="H42" s="20"/>
      <c r="I42" s="20"/>
      <c r="J42" s="2"/>
    </row>
    <row r="43" spans="1:10" ht="15.5" x14ac:dyDescent="0.35">
      <c r="A43" s="10">
        <f>'Data Siswa'!A41</f>
        <v>40</v>
      </c>
      <c r="B43" s="80">
        <f>'Data Siswa'!B41</f>
        <v>0</v>
      </c>
      <c r="C43" s="10">
        <f>'Data Siswa'!C41</f>
        <v>0</v>
      </c>
      <c r="D43" s="20"/>
      <c r="E43" s="20"/>
      <c r="F43" s="20"/>
      <c r="G43" s="20"/>
      <c r="H43" s="20"/>
      <c r="I43" s="20"/>
      <c r="J43" s="2"/>
    </row>
  </sheetData>
  <mergeCells count="8">
    <mergeCell ref="J1:J2"/>
    <mergeCell ref="G2:I2"/>
    <mergeCell ref="D1:I1"/>
    <mergeCell ref="D2:F2"/>
    <mergeCell ref="A1:C1"/>
    <mergeCell ref="A2:A3"/>
    <mergeCell ref="B2:B3"/>
    <mergeCell ref="C2:C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4"/>
  <dimension ref="A1:AB61"/>
  <sheetViews>
    <sheetView view="pageLayout" zoomScale="85" zoomScaleNormal="70" zoomScalePageLayoutView="85" workbookViewId="0">
      <selection activeCell="U54" sqref="U54"/>
    </sheetView>
  </sheetViews>
  <sheetFormatPr defaultColWidth="0" defaultRowHeight="14.5" zeroHeight="1" x14ac:dyDescent="0.35"/>
  <cols>
    <col min="1" max="1" width="4.1796875" customWidth="1"/>
    <col min="2" max="2" width="10.81640625" customWidth="1"/>
    <col min="3" max="3" width="1.26953125" customWidth="1"/>
    <col min="4" max="4" width="1" customWidth="1"/>
    <col min="5" max="5" width="2.26953125" customWidth="1"/>
    <col min="6" max="6" width="0.453125" customWidth="1"/>
    <col min="7" max="9" width="1.1796875" customWidth="1"/>
    <col min="10" max="10" width="6.81640625" customWidth="1"/>
    <col min="11" max="11" width="14" customWidth="1"/>
    <col min="12" max="12" width="5" style="1" customWidth="1"/>
    <col min="13" max="13" width="10.81640625" customWidth="1"/>
    <col min="14" max="14" width="5.1796875" style="3" customWidth="1"/>
    <col min="15" max="15" width="10.81640625" customWidth="1"/>
    <col min="16" max="16" width="4" customWidth="1"/>
    <col min="17" max="17" width="14.1796875" customWidth="1"/>
    <col min="18" max="18" width="4.81640625" customWidth="1"/>
    <col min="19" max="19" width="3.81640625" customWidth="1"/>
    <col min="20" max="20" width="4.54296875" customWidth="1"/>
    <col min="21" max="21" width="10.453125" customWidth="1"/>
    <col min="22" max="22" width="8.26953125" customWidth="1"/>
    <col min="23" max="23" width="17.1796875" customWidth="1"/>
    <col min="24" max="25" width="9.1796875" customWidth="1"/>
    <col min="26" max="28" width="0" hidden="1" customWidth="1"/>
    <col min="29" max="16384" width="9.1796875" hidden="1"/>
  </cols>
  <sheetData>
    <row r="1" spans="2:28" ht="7" customHeight="1" x14ac:dyDescent="0.35">
      <c r="B1" s="273" t="str">
        <f>VLOOKUP($U$8,'Nilai Tahriri'!$A$2:$X$41,2,FALSE)&amp;" ( "&amp;VLOOKUP($U$8,'Data Siswa'!$A$2:$D$41,3,FALSE)&amp;" )"</f>
        <v>ZAKWAN ADIB ( 0602 )</v>
      </c>
      <c r="C1" s="273"/>
      <c r="D1" s="273"/>
      <c r="E1" s="273"/>
      <c r="F1" s="273"/>
      <c r="G1" s="273"/>
      <c r="H1" s="273"/>
      <c r="I1" s="273"/>
      <c r="J1" s="273"/>
      <c r="K1" s="273"/>
      <c r="L1" s="273"/>
    </row>
    <row r="2" spans="2:28" ht="11.5" customHeight="1" x14ac:dyDescent="0.35">
      <c r="B2" s="273"/>
      <c r="C2" s="273"/>
      <c r="D2" s="273"/>
      <c r="E2" s="273"/>
      <c r="F2" s="273"/>
      <c r="G2" s="273"/>
      <c r="H2" s="273"/>
      <c r="I2" s="273"/>
      <c r="J2" s="273"/>
      <c r="K2" s="273"/>
      <c r="L2" s="273"/>
      <c r="M2" s="32"/>
      <c r="N2" s="32"/>
      <c r="O2" s="32"/>
      <c r="P2" s="32"/>
      <c r="Q2" s="32"/>
      <c r="R2" s="32"/>
      <c r="S2" s="21"/>
      <c r="T2" s="21"/>
      <c r="U2" s="21"/>
      <c r="V2" s="21"/>
      <c r="W2" s="21"/>
      <c r="X2" s="21"/>
      <c r="Y2" s="21"/>
      <c r="Z2" s="21"/>
      <c r="AA2" s="21"/>
      <c r="AB2" s="21"/>
    </row>
    <row r="3" spans="2:28" ht="12.25" customHeight="1" x14ac:dyDescent="0.35">
      <c r="B3" s="274" t="str">
        <f>Biodata!$B$12</f>
        <v>١٤٤٥ - ١٤٤٦ ه</v>
      </c>
      <c r="C3" s="274"/>
      <c r="D3" s="275" t="str">
        <f>Biodata!$B$10</f>
        <v xml:space="preserve">العام الدراسي : </v>
      </c>
      <c r="E3" s="275"/>
      <c r="F3" s="275"/>
      <c r="G3" s="275"/>
      <c r="H3" s="275"/>
      <c r="I3" s="275"/>
      <c r="J3" s="275"/>
      <c r="K3" s="161" t="str">
        <f>Biodata!$B$7</f>
        <v>الفصل الدراسي : الأول</v>
      </c>
      <c r="M3" s="161" t="str">
        <f>Biodata!$B$4</f>
        <v>الصف  : السادس د للبنين</v>
      </c>
      <c r="N3" s="161"/>
      <c r="O3" s="163" t="str">
        <f>(VLOOKUP($U$8,'Data Siswa'!$A$2:$D$41,4,FALSE))</f>
        <v xml:space="preserve"> </v>
      </c>
      <c r="P3" s="163"/>
      <c r="Q3" s="163"/>
      <c r="R3" s="165" t="s">
        <v>289</v>
      </c>
      <c r="S3" s="21"/>
      <c r="T3" s="21"/>
      <c r="U3" s="21"/>
      <c r="V3" s="21"/>
      <c r="W3" s="21"/>
      <c r="X3" s="21"/>
      <c r="Y3" s="21"/>
      <c r="Z3" s="21"/>
      <c r="AA3" s="21"/>
      <c r="AB3" s="21"/>
    </row>
    <row r="4" spans="2:28" ht="12.25" customHeight="1" x14ac:dyDescent="0.35">
      <c r="B4" s="167" t="str">
        <f>Biodata!$B$11</f>
        <v>٢٠٢٤ - ٢٠٢٥ م</v>
      </c>
      <c r="C4" s="167"/>
      <c r="D4" s="276"/>
      <c r="E4" s="276"/>
      <c r="F4" s="276"/>
      <c r="G4" s="276"/>
      <c r="H4" s="276"/>
      <c r="I4" s="276"/>
      <c r="J4" s="276"/>
      <c r="K4" s="162"/>
      <c r="L4" s="115"/>
      <c r="M4" s="162"/>
      <c r="N4" s="162"/>
      <c r="O4" s="164"/>
      <c r="P4" s="164"/>
      <c r="Q4" s="164"/>
      <c r="R4" s="166"/>
      <c r="S4" s="21"/>
      <c r="T4" s="21"/>
      <c r="U4" s="21"/>
      <c r="V4" s="21"/>
      <c r="W4" s="21"/>
      <c r="X4" s="21"/>
      <c r="Y4" s="21"/>
      <c r="Z4" s="21"/>
      <c r="AA4" s="21"/>
      <c r="AB4" s="21"/>
    </row>
    <row r="5" spans="2:28" ht="8.25" customHeight="1" thickBot="1" x14ac:dyDescent="0.4">
      <c r="B5" s="33" t="s">
        <v>97</v>
      </c>
      <c r="C5" s="33"/>
      <c r="D5" s="33"/>
      <c r="E5" s="33"/>
      <c r="F5" s="33"/>
      <c r="G5" s="33"/>
      <c r="H5" s="33"/>
      <c r="I5" s="33"/>
      <c r="J5" s="33"/>
      <c r="K5" s="33"/>
      <c r="L5" s="5"/>
      <c r="M5" s="33"/>
      <c r="O5" s="33"/>
      <c r="P5" s="33"/>
      <c r="Q5" s="33"/>
      <c r="R5" s="33"/>
      <c r="S5" s="21"/>
      <c r="T5" s="21"/>
      <c r="U5" s="21"/>
      <c r="V5" s="21"/>
      <c r="W5" s="21"/>
      <c r="X5" s="21"/>
      <c r="Y5" s="21"/>
      <c r="Z5" s="21"/>
      <c r="AA5" s="21"/>
      <c r="AB5" s="21"/>
    </row>
    <row r="6" spans="2:28" ht="17.149999999999999" customHeight="1" x14ac:dyDescent="0.35">
      <c r="B6" s="174" t="s">
        <v>264</v>
      </c>
      <c r="C6" s="175"/>
      <c r="D6" s="175"/>
      <c r="E6" s="175"/>
      <c r="F6" s="175"/>
      <c r="G6" s="175"/>
      <c r="H6" s="175"/>
      <c r="I6" s="175"/>
      <c r="J6" s="175"/>
      <c r="K6" s="175"/>
      <c r="L6" s="176" t="s">
        <v>0</v>
      </c>
      <c r="M6" s="174" t="s">
        <v>264</v>
      </c>
      <c r="N6" s="175"/>
      <c r="O6" s="175"/>
      <c r="P6" s="175"/>
      <c r="Q6" s="175"/>
      <c r="R6" s="188" t="s">
        <v>0</v>
      </c>
      <c r="S6" s="22"/>
      <c r="T6" s="22"/>
      <c r="U6" s="22"/>
      <c r="V6" s="22"/>
      <c r="W6" s="22"/>
      <c r="X6" s="21"/>
      <c r="Y6" s="21"/>
      <c r="Z6" s="21"/>
      <c r="AA6" s="21"/>
      <c r="AB6" s="21"/>
    </row>
    <row r="7" spans="2:28" ht="17.149999999999999" customHeight="1" x14ac:dyDescent="0.35">
      <c r="B7" s="190" t="s">
        <v>1</v>
      </c>
      <c r="C7" s="191"/>
      <c r="D7" s="191"/>
      <c r="E7" s="191"/>
      <c r="F7" s="191"/>
      <c r="G7" s="191" t="s">
        <v>2</v>
      </c>
      <c r="H7" s="191"/>
      <c r="I7" s="191"/>
      <c r="J7" s="191"/>
      <c r="K7" s="191"/>
      <c r="L7" s="177"/>
      <c r="M7" s="190" t="s">
        <v>1</v>
      </c>
      <c r="N7" s="191"/>
      <c r="O7" s="191" t="s">
        <v>3</v>
      </c>
      <c r="P7" s="191"/>
      <c r="Q7" s="191"/>
      <c r="R7" s="189"/>
      <c r="S7" s="24"/>
      <c r="T7" s="24"/>
      <c r="U7" s="25" t="s">
        <v>98</v>
      </c>
      <c r="V7" s="24"/>
      <c r="W7" s="21"/>
      <c r="X7" s="21"/>
      <c r="Y7" s="21"/>
      <c r="Z7" s="21"/>
      <c r="AA7" s="21"/>
      <c r="AB7" s="21"/>
    </row>
    <row r="8" spans="2:28" ht="17.149999999999999" customHeight="1" thickBot="1" x14ac:dyDescent="0.4">
      <c r="B8" s="69" t="s">
        <v>4</v>
      </c>
      <c r="C8" s="192" t="s">
        <v>5</v>
      </c>
      <c r="D8" s="192"/>
      <c r="E8" s="192"/>
      <c r="F8" s="192"/>
      <c r="G8" s="192"/>
      <c r="H8" s="192"/>
      <c r="I8" s="192"/>
      <c r="J8" s="192"/>
      <c r="K8" s="192"/>
      <c r="L8" s="178"/>
      <c r="M8" s="67" t="s">
        <v>4</v>
      </c>
      <c r="N8" s="34" t="s">
        <v>5</v>
      </c>
      <c r="O8" s="192"/>
      <c r="P8" s="192"/>
      <c r="Q8" s="192"/>
      <c r="R8" s="189"/>
      <c r="S8" s="24"/>
      <c r="T8" s="24"/>
      <c r="U8" s="26">
        <v>24</v>
      </c>
      <c r="V8" s="24"/>
      <c r="W8" s="21"/>
      <c r="X8" s="21"/>
      <c r="Y8" s="21"/>
      <c r="Z8" s="21"/>
      <c r="AA8" s="21"/>
      <c r="AB8" s="21"/>
    </row>
    <row r="9" spans="2:28" ht="15.65" customHeight="1" thickBot="1" x14ac:dyDescent="0.4">
      <c r="B9" s="231" t="s">
        <v>141</v>
      </c>
      <c r="C9" s="232"/>
      <c r="D9" s="232"/>
      <c r="E9" s="232"/>
      <c r="F9" s="232"/>
      <c r="G9" s="232"/>
      <c r="H9" s="232"/>
      <c r="I9" s="232"/>
      <c r="J9" s="232"/>
      <c r="K9" s="232"/>
      <c r="L9" s="232"/>
      <c r="M9" s="93" t="str">
        <f>VLOOKUP(N9,Sheet1!$A$1:$B$93,2)</f>
        <v xml:space="preserve"> </v>
      </c>
      <c r="N9" s="96"/>
      <c r="O9" s="98"/>
      <c r="P9" s="183" t="s">
        <v>100</v>
      </c>
      <c r="Q9" s="184"/>
      <c r="R9" s="97">
        <v>1</v>
      </c>
      <c r="S9" s="24"/>
      <c r="T9" s="24"/>
      <c r="U9" s="21"/>
      <c r="V9" s="24"/>
      <c r="W9" s="21"/>
      <c r="X9" s="21"/>
      <c r="Y9" s="21"/>
      <c r="Z9" s="21"/>
      <c r="AA9" s="21"/>
      <c r="AB9" s="21"/>
    </row>
    <row r="10" spans="2:28" ht="15.65" customHeight="1" x14ac:dyDescent="0.35">
      <c r="B10" s="83" t="str">
        <f>VLOOKUP(C10,Sheet1!$A$1:$B$93,2)</f>
        <v xml:space="preserve"> اربع و نصف</v>
      </c>
      <c r="C10" s="267">
        <f>VLOOKUP($U$8,'Nilai Syafahi'!$A$4:$AA$43,4,FALSE)</f>
        <v>4.5</v>
      </c>
      <c r="D10" s="268"/>
      <c r="E10" s="268"/>
      <c r="F10" s="268"/>
      <c r="G10" s="185" t="s">
        <v>143</v>
      </c>
      <c r="H10" s="186"/>
      <c r="I10" s="186"/>
      <c r="J10" s="186"/>
      <c r="K10" s="187"/>
      <c r="L10" s="86">
        <v>40</v>
      </c>
      <c r="M10" s="94" t="str">
        <f>VLOOKUP(N10,Sheet1!$A$1:$B$93,2)</f>
        <v xml:space="preserve"> اربع</v>
      </c>
      <c r="N10" s="68">
        <f>VLOOKUP($U$8,'Nilai Tahriri'!$A$2:$AP$41,4,FALSE)</f>
        <v>4</v>
      </c>
      <c r="O10" s="103"/>
      <c r="P10" s="181" t="s">
        <v>101</v>
      </c>
      <c r="Q10" s="182"/>
      <c r="R10" s="64">
        <v>2</v>
      </c>
      <c r="S10" s="24"/>
      <c r="T10" s="24"/>
      <c r="U10" s="168" t="s">
        <v>151</v>
      </c>
      <c r="V10" s="170">
        <v>1</v>
      </c>
      <c r="W10" s="21"/>
      <c r="X10" s="21"/>
      <c r="Y10" s="21"/>
      <c r="Z10" s="21"/>
      <c r="AA10" s="21"/>
      <c r="AB10" s="21"/>
    </row>
    <row r="11" spans="2:28" ht="15.65" customHeight="1" x14ac:dyDescent="0.35">
      <c r="B11" s="35" t="str">
        <f>VLOOKUP(C11,Sheet1!$A$1:$B$93,2)</f>
        <v xml:space="preserve"> ستّ</v>
      </c>
      <c r="C11" s="179">
        <f>VLOOKUP($U$8,'Nilai Syafahi'!$A$4:$AA$43,5,FALSE)</f>
        <v>6</v>
      </c>
      <c r="D11" s="180"/>
      <c r="E11" s="180"/>
      <c r="F11" s="180"/>
      <c r="G11" s="193"/>
      <c r="H11" s="194"/>
      <c r="I11" s="194"/>
      <c r="J11" s="194"/>
      <c r="K11" s="66" t="s">
        <v>6</v>
      </c>
      <c r="L11" s="87">
        <v>41</v>
      </c>
      <c r="M11" s="94" t="str">
        <f>VLOOKUP(N11,Sheet1!$A$1:$B$93,2)</f>
        <v xml:space="preserve"> اربع و نصف</v>
      </c>
      <c r="N11" s="68">
        <f>VLOOKUP($U$8,'Nilai Tahriri'!$A$2:$AP$41,5,FALSE)</f>
        <v>4.5</v>
      </c>
      <c r="O11" s="103"/>
      <c r="P11" s="181" t="s">
        <v>102</v>
      </c>
      <c r="Q11" s="182"/>
      <c r="R11" s="64">
        <v>3</v>
      </c>
      <c r="S11" s="24"/>
      <c r="T11" s="24"/>
      <c r="U11" s="169"/>
      <c r="V11" s="171"/>
      <c r="W11" s="21"/>
      <c r="X11" s="21"/>
      <c r="Y11" s="21"/>
      <c r="Z11" s="21"/>
      <c r="AA11" s="21"/>
      <c r="AB11" s="21"/>
    </row>
    <row r="12" spans="2:28" ht="15.65" customHeight="1" x14ac:dyDescent="0.35">
      <c r="B12" s="35" t="str">
        <f>VLOOKUP(C12,Sheet1!$A$1:$B$93,2)</f>
        <v xml:space="preserve"> ستّ</v>
      </c>
      <c r="C12" s="179">
        <f>VLOOKUP($U$8,'Nilai Syafahi'!$A$4:$AA$43,6,FALSE)</f>
        <v>6</v>
      </c>
      <c r="D12" s="180"/>
      <c r="E12" s="180"/>
      <c r="F12" s="180"/>
      <c r="G12" s="193"/>
      <c r="H12" s="194"/>
      <c r="I12" s="194"/>
      <c r="J12" s="194"/>
      <c r="K12" s="66" t="s">
        <v>8</v>
      </c>
      <c r="L12" s="87">
        <v>42</v>
      </c>
      <c r="M12" s="94" t="str">
        <f>VLOOKUP(N12,Sheet1!$A$1:$B$93,2)</f>
        <v xml:space="preserve"> اربع</v>
      </c>
      <c r="N12" s="68">
        <f>VLOOKUP($U$8,'Nilai Tahriri'!$A$2:$AP$41,6,FALSE)</f>
        <v>4</v>
      </c>
      <c r="O12" s="103"/>
      <c r="P12" s="181" t="s">
        <v>103</v>
      </c>
      <c r="Q12" s="182"/>
      <c r="R12" s="64">
        <v>4</v>
      </c>
      <c r="S12" s="24"/>
      <c r="T12" s="24"/>
      <c r="U12" s="168" t="s">
        <v>152</v>
      </c>
      <c r="V12" s="172">
        <v>24</v>
      </c>
      <c r="W12" s="21"/>
      <c r="X12" s="21"/>
      <c r="Y12" s="21"/>
      <c r="Z12" s="21"/>
      <c r="AA12" s="21"/>
      <c r="AB12" s="21"/>
    </row>
    <row r="13" spans="2:28" ht="15.65" customHeight="1" x14ac:dyDescent="0.35">
      <c r="B13" s="35" t="str">
        <f>VLOOKUP(C13,Sheet1!$A$1:$B$93,2)</f>
        <v xml:space="preserve"> اربع و نصف</v>
      </c>
      <c r="C13" s="179">
        <f>VLOOKUP($U$8,'Nilai Syafahi'!$A$4:$AA$43,7,FALSE)</f>
        <v>4.5</v>
      </c>
      <c r="D13" s="180"/>
      <c r="E13" s="180"/>
      <c r="F13" s="180"/>
      <c r="G13" s="193"/>
      <c r="H13" s="194"/>
      <c r="I13" s="194"/>
      <c r="J13" s="194"/>
      <c r="K13" s="66" t="s">
        <v>10</v>
      </c>
      <c r="L13" s="87">
        <v>43</v>
      </c>
      <c r="M13" s="94" t="str">
        <f>VLOOKUP(N13,Sheet1!$A$1:$B$93,2)</f>
        <v xml:space="preserve"> خمس</v>
      </c>
      <c r="N13" s="68">
        <f>VLOOKUP($U$8,'Nilai Tahriri'!$A$2:$AP$41,7,FALSE)</f>
        <v>5</v>
      </c>
      <c r="O13" s="103"/>
      <c r="P13" s="181" t="s">
        <v>104</v>
      </c>
      <c r="Q13" s="182"/>
      <c r="R13" s="64">
        <v>5</v>
      </c>
      <c r="S13" s="24"/>
      <c r="T13" s="24"/>
      <c r="U13" s="169"/>
      <c r="V13" s="171"/>
      <c r="W13" s="21"/>
      <c r="X13" s="21"/>
      <c r="Y13" s="21"/>
      <c r="Z13" s="21"/>
      <c r="AA13" s="21"/>
      <c r="AB13" s="21"/>
    </row>
    <row r="14" spans="2:28" ht="15.65" customHeight="1" x14ac:dyDescent="0.35">
      <c r="B14" s="35" t="str">
        <f>VLOOKUP(C14,Sheet1!$A$1:$B$93,2)</f>
        <v xml:space="preserve"> سبع</v>
      </c>
      <c r="C14" s="179">
        <f>VLOOKUP($U$8,'Nilai Syafahi'!$A$4:$AA$43,8,FALSE)</f>
        <v>7</v>
      </c>
      <c r="D14" s="180"/>
      <c r="E14" s="180"/>
      <c r="F14" s="180"/>
      <c r="G14" s="193"/>
      <c r="H14" s="194"/>
      <c r="I14" s="194"/>
      <c r="J14" s="194"/>
      <c r="K14" s="66" t="s">
        <v>12</v>
      </c>
      <c r="L14" s="87">
        <v>44</v>
      </c>
      <c r="M14" s="94" t="str">
        <f>VLOOKUP(N14,Sheet1!$A$1:$B$93,2)</f>
        <v xml:space="preserve"> اربع</v>
      </c>
      <c r="N14" s="68">
        <f>VLOOKUP($U$8,'Nilai Tahriri'!$A$2:$AP$41,8,FALSE)</f>
        <v>4</v>
      </c>
      <c r="O14" s="103"/>
      <c r="P14" s="181" t="s">
        <v>105</v>
      </c>
      <c r="Q14" s="182"/>
      <c r="R14" s="64">
        <v>6</v>
      </c>
      <c r="S14" s="24"/>
      <c r="T14" s="24"/>
      <c r="U14" s="21"/>
      <c r="V14" s="24"/>
      <c r="W14" s="21"/>
      <c r="X14" s="21"/>
      <c r="Y14" s="21"/>
      <c r="Z14" s="21"/>
      <c r="AA14" s="21"/>
      <c r="AB14" s="21"/>
    </row>
    <row r="15" spans="2:28" ht="15.65" customHeight="1" thickBot="1" x14ac:dyDescent="0.4">
      <c r="B15" s="35" t="str">
        <f>VLOOKUP(C15,Sheet1!$A$1:$B$93,2)</f>
        <v xml:space="preserve"> </v>
      </c>
      <c r="C15" s="179">
        <f>VLOOKUP($U$8,'Nilai Syafahi'!$A$4:$AA$43,9,FALSE)</f>
        <v>0</v>
      </c>
      <c r="D15" s="180"/>
      <c r="E15" s="180"/>
      <c r="F15" s="180"/>
      <c r="G15" s="193"/>
      <c r="H15" s="194"/>
      <c r="I15" s="194"/>
      <c r="J15" s="194"/>
      <c r="K15" s="66" t="s">
        <v>14</v>
      </c>
      <c r="L15" s="87">
        <v>45</v>
      </c>
      <c r="M15" s="94" t="str">
        <f>VLOOKUP(N15,Sheet1!$A$1:$B$93,2)</f>
        <v xml:space="preserve"> اربع و نصف</v>
      </c>
      <c r="N15" s="68">
        <f>VLOOKUP($U$8,'Nilai Tahriri'!$A$2:$AP$41,9,FALSE)</f>
        <v>4.5</v>
      </c>
      <c r="O15" s="103"/>
      <c r="P15" s="181" t="s">
        <v>106</v>
      </c>
      <c r="Q15" s="182"/>
      <c r="R15" s="64">
        <v>7</v>
      </c>
      <c r="S15" s="27"/>
      <c r="T15" s="27"/>
      <c r="U15" s="21"/>
      <c r="V15" s="27"/>
      <c r="W15" s="21"/>
      <c r="X15" s="21"/>
      <c r="Y15" s="21"/>
      <c r="Z15" s="21"/>
      <c r="AA15" s="21"/>
      <c r="AB15" s="21"/>
    </row>
    <row r="16" spans="2:28" ht="15.65" customHeight="1" thickBot="1" x14ac:dyDescent="0.4">
      <c r="B16" s="231" t="s">
        <v>142</v>
      </c>
      <c r="C16" s="232"/>
      <c r="D16" s="232"/>
      <c r="E16" s="232"/>
      <c r="F16" s="232"/>
      <c r="G16" s="232"/>
      <c r="H16" s="232"/>
      <c r="I16" s="232"/>
      <c r="J16" s="232"/>
      <c r="K16" s="232"/>
      <c r="L16" s="232"/>
      <c r="M16" s="94" t="str">
        <f>VLOOKUP(N16,Sheet1!$A$1:$B$93,2)</f>
        <v xml:space="preserve"> ثمان</v>
      </c>
      <c r="N16" s="68">
        <f>VLOOKUP($U$8,'Nilai Tahriri'!$A$2:$AP$41,10,FALSE)</f>
        <v>8</v>
      </c>
      <c r="O16" s="103"/>
      <c r="P16" s="181" t="s">
        <v>281</v>
      </c>
      <c r="Q16" s="182"/>
      <c r="R16" s="64">
        <v>8</v>
      </c>
      <c r="S16" s="27"/>
      <c r="T16" s="27"/>
      <c r="U16" s="21"/>
      <c r="V16" s="27"/>
      <c r="W16" s="21"/>
      <c r="X16" s="21"/>
      <c r="Y16" s="21"/>
      <c r="Z16" s="21"/>
      <c r="AA16" s="21"/>
      <c r="AB16" s="21"/>
    </row>
    <row r="17" spans="2:28" ht="15.65" customHeight="1" x14ac:dyDescent="0.35">
      <c r="B17" s="35" t="str">
        <f>VLOOKUP(C17,Sheet1!$A$1:$B$93,2)</f>
        <v xml:space="preserve"> خمس</v>
      </c>
      <c r="C17" s="179">
        <f>VLOOKUP($U$8,'Nilai Syafahi'!$A$4:$AA$43,10,FALSE)</f>
        <v>5</v>
      </c>
      <c r="D17" s="180"/>
      <c r="E17" s="180"/>
      <c r="F17" s="180"/>
      <c r="G17" s="199" t="s">
        <v>66</v>
      </c>
      <c r="H17" s="200"/>
      <c r="I17" s="200"/>
      <c r="J17" s="200"/>
      <c r="K17" s="201"/>
      <c r="L17" s="87">
        <v>46</v>
      </c>
      <c r="M17" s="94" t="str">
        <f>VLOOKUP(N17,Sheet1!$A$1:$B$93,2)</f>
        <v xml:space="preserve"> خمس و نصف</v>
      </c>
      <c r="N17" s="68">
        <f>VLOOKUP($U$8,'Nilai Tahriri'!$A$2:$AP$41,11,FALSE)</f>
        <v>5.5</v>
      </c>
      <c r="O17" s="103"/>
      <c r="P17" s="181" t="s">
        <v>107</v>
      </c>
      <c r="Q17" s="182"/>
      <c r="R17" s="64">
        <v>9</v>
      </c>
      <c r="S17" s="27"/>
      <c r="T17" s="27"/>
      <c r="U17" s="21"/>
      <c r="V17" s="27"/>
      <c r="W17" s="21"/>
      <c r="X17" s="21"/>
      <c r="Y17" s="21"/>
      <c r="Z17" s="21"/>
      <c r="AA17" s="21"/>
      <c r="AB17" s="21"/>
    </row>
    <row r="18" spans="2:28" ht="15.65" customHeight="1" x14ac:dyDescent="0.35">
      <c r="B18" s="35" t="str">
        <f>VLOOKUP(C18,Sheet1!$A$1:$B$93,2)</f>
        <v xml:space="preserve"> خمس</v>
      </c>
      <c r="C18" s="179">
        <f>VLOOKUP($U$8,'Nilai Syafahi'!$A$4:$AA$43,11,FALSE)</f>
        <v>5</v>
      </c>
      <c r="D18" s="180"/>
      <c r="E18" s="180"/>
      <c r="F18" s="180"/>
      <c r="G18" s="199" t="s">
        <v>179</v>
      </c>
      <c r="H18" s="200" t="s">
        <v>179</v>
      </c>
      <c r="I18" s="200" t="s">
        <v>179</v>
      </c>
      <c r="J18" s="200" t="s">
        <v>179</v>
      </c>
      <c r="K18" s="201" t="s">
        <v>179</v>
      </c>
      <c r="L18" s="87">
        <v>47</v>
      </c>
      <c r="M18" s="94" t="str">
        <f>VLOOKUP(N18,Sheet1!$A$1:$B$93,2)</f>
        <v xml:space="preserve"> سبع</v>
      </c>
      <c r="N18" s="68">
        <f>VLOOKUP($U$8,'Nilai Tahriri'!$A$2:$AP$41,12,FALSE)</f>
        <v>7</v>
      </c>
      <c r="O18" s="103"/>
      <c r="P18" s="181" t="s">
        <v>108</v>
      </c>
      <c r="Q18" s="182"/>
      <c r="R18" s="64">
        <v>10</v>
      </c>
      <c r="S18" s="27"/>
      <c r="T18" s="27"/>
      <c r="U18" s="21"/>
      <c r="V18" s="27"/>
      <c r="W18" s="21"/>
      <c r="X18" s="21"/>
      <c r="Y18" s="21"/>
      <c r="Z18" s="21"/>
      <c r="AA18" s="21"/>
      <c r="AB18" s="21"/>
    </row>
    <row r="19" spans="2:28" ht="15.65" customHeight="1" x14ac:dyDescent="0.35">
      <c r="B19" s="35" t="str">
        <f>VLOOKUP(C19,Sheet1!$A$1:$B$93,2)</f>
        <v xml:space="preserve"> خمس</v>
      </c>
      <c r="C19" s="179">
        <f>VLOOKUP($U$8,'Nilai Syafahi'!$A$4:$AA$43,12,FALSE)</f>
        <v>5</v>
      </c>
      <c r="D19" s="180"/>
      <c r="E19" s="180"/>
      <c r="F19" s="180"/>
      <c r="G19" s="199" t="s">
        <v>88</v>
      </c>
      <c r="H19" s="200"/>
      <c r="I19" s="200"/>
      <c r="J19" s="200"/>
      <c r="K19" s="201"/>
      <c r="L19" s="87">
        <v>48</v>
      </c>
      <c r="M19" s="94" t="str">
        <f>VLOOKUP(N19,Sheet1!$A$1:$B$93,2)</f>
        <v xml:space="preserve"> ثمان</v>
      </c>
      <c r="N19" s="68">
        <f>VLOOKUP($U$8,'Nilai Tahriri'!$A$2:$AP$41,13,FALSE)</f>
        <v>8</v>
      </c>
      <c r="O19" s="103"/>
      <c r="P19" s="181" t="s">
        <v>109</v>
      </c>
      <c r="Q19" s="182"/>
      <c r="R19" s="64">
        <v>11</v>
      </c>
      <c r="S19" s="27"/>
      <c r="T19" s="27"/>
      <c r="U19" s="21"/>
      <c r="V19" s="27"/>
      <c r="W19" s="21"/>
      <c r="X19" s="21"/>
      <c r="Y19" s="21"/>
      <c r="Z19" s="21"/>
      <c r="AA19" s="21"/>
      <c r="AB19" s="21"/>
    </row>
    <row r="20" spans="2:28" ht="15.65" customHeight="1" x14ac:dyDescent="0.35">
      <c r="B20" s="35" t="str">
        <f>VLOOKUP(C20,Sheet1!$A$1:$B$93,2)</f>
        <v xml:space="preserve"> خمس</v>
      </c>
      <c r="C20" s="179">
        <f>VLOOKUP($U$8,'Nilai Syafahi'!$A$4:$AA$43,13,FALSE)</f>
        <v>5</v>
      </c>
      <c r="D20" s="180"/>
      <c r="E20" s="180"/>
      <c r="F20" s="180"/>
      <c r="G20" s="199" t="s">
        <v>263</v>
      </c>
      <c r="H20" s="200"/>
      <c r="I20" s="200"/>
      <c r="J20" s="200"/>
      <c r="K20" s="201"/>
      <c r="L20" s="87">
        <v>49</v>
      </c>
      <c r="M20" s="94" t="str">
        <f>VLOOKUP(N20,Sheet1!$A$1:$B$93,2)</f>
        <v xml:space="preserve"> خمس</v>
      </c>
      <c r="N20" s="68">
        <f>VLOOKUP($U$8,'Nilai Tahriri'!$A$2:$AP$41,14,FALSE)</f>
        <v>5</v>
      </c>
      <c r="O20" s="103"/>
      <c r="P20" s="181" t="s">
        <v>110</v>
      </c>
      <c r="Q20" s="182"/>
      <c r="R20" s="64">
        <v>12</v>
      </c>
      <c r="S20" s="27"/>
      <c r="T20" s="27"/>
      <c r="U20" s="21"/>
      <c r="V20" s="21"/>
      <c r="W20" s="21"/>
      <c r="X20" s="21"/>
      <c r="Y20" s="21"/>
      <c r="Z20" s="21"/>
      <c r="AA20" s="21"/>
      <c r="AB20" s="21"/>
    </row>
    <row r="21" spans="2:28" ht="15.65" customHeight="1" thickBot="1" x14ac:dyDescent="0.4">
      <c r="B21" s="62" t="str">
        <f>VLOOKUP(C21,Sheet1!$A$1:$B$93,2)</f>
        <v xml:space="preserve"> خمس</v>
      </c>
      <c r="C21" s="179">
        <f>VLOOKUP($U$8,'Nilai Syafahi'!$A$4:$AA$43,14,FALSE)</f>
        <v>5</v>
      </c>
      <c r="D21" s="180"/>
      <c r="E21" s="180"/>
      <c r="F21" s="180"/>
      <c r="G21" s="199" t="s">
        <v>89</v>
      </c>
      <c r="H21" s="200"/>
      <c r="I21" s="200"/>
      <c r="J21" s="200"/>
      <c r="K21" s="201"/>
      <c r="L21" s="87">
        <v>50</v>
      </c>
      <c r="M21" s="94" t="str">
        <f>VLOOKUP(N21,Sheet1!$A$1:$B$93,2)</f>
        <v xml:space="preserve"> اربع</v>
      </c>
      <c r="N21" s="68">
        <f>VLOOKUP($U$8,'Nilai Tahriri'!$A$2:$AP$41,15,FALSE)</f>
        <v>4</v>
      </c>
      <c r="O21" s="103"/>
      <c r="P21" s="181" t="s">
        <v>111</v>
      </c>
      <c r="Q21" s="182"/>
      <c r="R21" s="64">
        <v>13</v>
      </c>
      <c r="S21" s="27"/>
      <c r="T21" s="27"/>
      <c r="U21" s="21"/>
      <c r="V21" s="21"/>
      <c r="W21" s="21"/>
      <c r="X21" s="21"/>
      <c r="Y21" s="21"/>
      <c r="Z21" s="21"/>
      <c r="AA21" s="21"/>
      <c r="AB21" s="21"/>
    </row>
    <row r="22" spans="2:28" ht="15.65" customHeight="1" thickBot="1" x14ac:dyDescent="0.4">
      <c r="B22" s="280" t="s">
        <v>139</v>
      </c>
      <c r="C22" s="281"/>
      <c r="D22" s="281"/>
      <c r="E22" s="281"/>
      <c r="F22" s="281"/>
      <c r="G22" s="281"/>
      <c r="H22" s="281"/>
      <c r="I22" s="281"/>
      <c r="J22" s="281"/>
      <c r="K22" s="281"/>
      <c r="L22" s="281"/>
      <c r="M22" s="94" t="str">
        <f>VLOOKUP(N22,Sheet1!$A$1:$B$93,2)</f>
        <v xml:space="preserve"> خمس</v>
      </c>
      <c r="N22" s="68">
        <f>VLOOKUP($U$8,'Nilai Tahriri'!$A$2:$AP$41,16,FALSE)</f>
        <v>5</v>
      </c>
      <c r="O22" s="103"/>
      <c r="P22" s="181" t="s">
        <v>10</v>
      </c>
      <c r="Q22" s="182"/>
      <c r="R22" s="64">
        <v>14</v>
      </c>
      <c r="S22" s="27"/>
      <c r="T22" s="27"/>
      <c r="U22" s="21"/>
      <c r="V22" s="21"/>
      <c r="W22" s="21"/>
      <c r="X22" s="21"/>
      <c r="Y22" s="21"/>
      <c r="Z22" s="21"/>
      <c r="AA22" s="21"/>
      <c r="AB22" s="21"/>
    </row>
    <row r="23" spans="2:28" ht="15.65" customHeight="1" x14ac:dyDescent="0.35">
      <c r="B23" s="35" t="str">
        <f>VLOOKUP(C23,Sheet1!$A$1:$B$93,2)</f>
        <v xml:space="preserve"> ثمان</v>
      </c>
      <c r="C23" s="196">
        <f>VLOOKUP($U$8,'Nilai Syafahi'!$A$4:$AA$43,15,FALSE)</f>
        <v>8</v>
      </c>
      <c r="D23" s="196"/>
      <c r="E23" s="196"/>
      <c r="F23" s="196"/>
      <c r="G23" s="197" t="s">
        <v>180</v>
      </c>
      <c r="H23" s="198"/>
      <c r="I23" s="198"/>
      <c r="J23" s="198"/>
      <c r="K23" s="198"/>
      <c r="L23" s="88">
        <v>51</v>
      </c>
      <c r="M23" s="94" t="str">
        <f>VLOOKUP(N23,Sheet1!$A$1:$B$93,2)</f>
        <v xml:space="preserve"> سبع</v>
      </c>
      <c r="N23" s="68">
        <f>VLOOKUP($U$8,'Nilai Tahriri'!$A$2:$AP$41,17,FALSE)</f>
        <v>7</v>
      </c>
      <c r="O23" s="103"/>
      <c r="P23" s="181" t="s">
        <v>12</v>
      </c>
      <c r="Q23" s="182"/>
      <c r="R23" s="64">
        <v>15</v>
      </c>
      <c r="S23" s="27"/>
      <c r="T23" s="27"/>
      <c r="U23" s="21"/>
      <c r="V23" s="21"/>
      <c r="W23" s="21"/>
      <c r="X23" s="21"/>
      <c r="Y23" s="21"/>
      <c r="Z23" s="21"/>
      <c r="AA23" s="21"/>
      <c r="AB23" s="21"/>
    </row>
    <row r="24" spans="2:28" ht="15.65" customHeight="1" x14ac:dyDescent="0.35">
      <c r="B24" s="35" t="str">
        <f>VLOOKUP(C24,Sheet1!$A$1:$B$93,2)</f>
        <v xml:space="preserve"> ثمان</v>
      </c>
      <c r="C24" s="196">
        <f>VLOOKUP($U$8,'Nilai Syafahi'!$A$4:$AA$43,16,FALSE)</f>
        <v>8</v>
      </c>
      <c r="D24" s="196"/>
      <c r="E24" s="196"/>
      <c r="F24" s="196"/>
      <c r="G24" s="195" t="s">
        <v>16</v>
      </c>
      <c r="H24" s="181"/>
      <c r="I24" s="181"/>
      <c r="J24" s="181"/>
      <c r="K24" s="181"/>
      <c r="L24" s="89">
        <v>52</v>
      </c>
      <c r="M24" s="94" t="str">
        <f>VLOOKUP(N24,Sheet1!$A$1:$B$93,2)</f>
        <v xml:space="preserve"> اربع</v>
      </c>
      <c r="N24" s="68">
        <f>VLOOKUP($U$8,'Nilai Tahriri'!$A$2:$AP$41,18,FALSE)</f>
        <v>4</v>
      </c>
      <c r="O24" s="103"/>
      <c r="P24" s="181" t="s">
        <v>112</v>
      </c>
      <c r="Q24" s="182"/>
      <c r="R24" s="64">
        <v>16</v>
      </c>
      <c r="S24" s="27"/>
      <c r="T24" s="27"/>
      <c r="U24" s="21"/>
      <c r="V24" s="27"/>
      <c r="W24" s="21"/>
      <c r="X24" s="21"/>
      <c r="Y24" s="21"/>
      <c r="Z24" s="21"/>
      <c r="AA24" s="21"/>
      <c r="AB24" s="21"/>
    </row>
    <row r="25" spans="2:28" ht="15.65" customHeight="1" x14ac:dyDescent="0.35">
      <c r="B25" s="35" t="str">
        <f>VLOOKUP(C25,Sheet1!$A$1:$B$93,2)</f>
        <v xml:space="preserve"> خمس</v>
      </c>
      <c r="C25" s="196">
        <f>VLOOKUP($U$8,'Nilai Syafahi'!$A$4:$AA$43,17,FALSE)</f>
        <v>5</v>
      </c>
      <c r="D25" s="196"/>
      <c r="E25" s="196"/>
      <c r="F25" s="196"/>
      <c r="G25" s="195" t="s">
        <v>104</v>
      </c>
      <c r="H25" s="181"/>
      <c r="I25" s="181"/>
      <c r="J25" s="181"/>
      <c r="K25" s="181"/>
      <c r="L25" s="90">
        <v>53</v>
      </c>
      <c r="M25" s="94" t="str">
        <f>VLOOKUP(N25,Sheet1!$A$1:$B$93,2)</f>
        <v xml:space="preserve"> ستّ</v>
      </c>
      <c r="N25" s="68">
        <f>VLOOKUP($U$8,'Nilai Tahriri'!$A$2:$AP$41,19,FALSE)</f>
        <v>6</v>
      </c>
      <c r="O25" s="103"/>
      <c r="P25" s="181" t="s">
        <v>113</v>
      </c>
      <c r="Q25" s="182"/>
      <c r="R25" s="64">
        <v>17</v>
      </c>
      <c r="S25" s="27"/>
      <c r="T25" s="27"/>
      <c r="U25" s="21"/>
      <c r="V25" s="27"/>
      <c r="W25" s="21"/>
      <c r="X25" s="21"/>
      <c r="Y25" s="21"/>
      <c r="Z25" s="21"/>
      <c r="AA25" s="21"/>
      <c r="AB25" s="21"/>
    </row>
    <row r="26" spans="2:28" ht="15.65" customHeight="1" x14ac:dyDescent="0.35">
      <c r="B26" s="35" t="str">
        <f>VLOOKUP(C26,Sheet1!$A$1:$B$93,2)</f>
        <v xml:space="preserve"> خمس</v>
      </c>
      <c r="C26" s="196">
        <f>VLOOKUP($U$8,'Nilai Syafahi'!$A$4:$AA$43,18,FALSE)</f>
        <v>5</v>
      </c>
      <c r="D26" s="196"/>
      <c r="E26" s="196"/>
      <c r="F26" s="196"/>
      <c r="G26" s="195" t="s">
        <v>284</v>
      </c>
      <c r="H26" s="181"/>
      <c r="I26" s="181"/>
      <c r="J26" s="181"/>
      <c r="K26" s="181"/>
      <c r="L26" s="89">
        <v>54</v>
      </c>
      <c r="M26" s="94" t="str">
        <f>VLOOKUP(N26,Sheet1!$A$1:$B$93,2)</f>
        <v xml:space="preserve"> اربع</v>
      </c>
      <c r="N26" s="68">
        <f>VLOOKUP($U$8,'Nilai Tahriri'!$A$2:$AP$41,20,FALSE)</f>
        <v>4</v>
      </c>
      <c r="O26" s="103"/>
      <c r="P26" s="181" t="s">
        <v>114</v>
      </c>
      <c r="Q26" s="182"/>
      <c r="R26" s="64">
        <v>18</v>
      </c>
      <c r="S26" s="27"/>
      <c r="T26" s="27"/>
      <c r="U26" s="21"/>
      <c r="V26" s="27"/>
      <c r="W26" s="21"/>
      <c r="X26" s="21"/>
      <c r="Y26" s="21"/>
      <c r="Z26" s="21"/>
      <c r="AA26" s="21"/>
      <c r="AB26" s="21"/>
    </row>
    <row r="27" spans="2:28" ht="15.65" customHeight="1" x14ac:dyDescent="0.35">
      <c r="B27" s="35" t="str">
        <f>VLOOKUP(C27,Sheet1!$A$1:$B$93,2)</f>
        <v xml:space="preserve"> ثمان</v>
      </c>
      <c r="C27" s="196">
        <f>VLOOKUP($U$8,'Nilai Syafahi'!$A$4:$AA$43,19,FALSE)</f>
        <v>8</v>
      </c>
      <c r="D27" s="196"/>
      <c r="E27" s="196"/>
      <c r="F27" s="196"/>
      <c r="G27" s="195" t="s">
        <v>281</v>
      </c>
      <c r="H27" s="181"/>
      <c r="I27" s="181"/>
      <c r="J27" s="181"/>
      <c r="K27" s="182"/>
      <c r="L27" s="90">
        <v>55</v>
      </c>
      <c r="M27" s="94" t="str">
        <f>VLOOKUP(N27,Sheet1!$A$1:$B$93,2)</f>
        <v xml:space="preserve"> ستّ</v>
      </c>
      <c r="N27" s="68">
        <f>VLOOKUP($U$8,'Nilai Tahriri'!$A$2:$AP$41,21,FALSE)</f>
        <v>6</v>
      </c>
      <c r="O27" s="103"/>
      <c r="P27" s="181" t="s">
        <v>115</v>
      </c>
      <c r="Q27" s="182"/>
      <c r="R27" s="64">
        <v>19</v>
      </c>
      <c r="S27" s="27"/>
      <c r="T27" s="27"/>
      <c r="U27" s="21"/>
      <c r="V27" s="27"/>
      <c r="W27" s="21"/>
      <c r="X27" s="21"/>
      <c r="Y27" s="21"/>
      <c r="Z27" s="21"/>
      <c r="AA27" s="21"/>
      <c r="AB27" s="21"/>
    </row>
    <row r="28" spans="2:28" ht="15.65" customHeight="1" thickBot="1" x14ac:dyDescent="0.4">
      <c r="B28" s="62" t="str">
        <f>VLOOKUP(C28,Sheet1!$A$1:$B$93,2)</f>
        <v xml:space="preserve"> </v>
      </c>
      <c r="C28" s="239">
        <f>VLOOKUP($U$8,'Nilai Syafahi'!$A$4:$AA$43,20,FALSE)</f>
        <v>0</v>
      </c>
      <c r="D28" s="239"/>
      <c r="E28" s="239"/>
      <c r="F28" s="239"/>
      <c r="G28" s="195" t="s">
        <v>19</v>
      </c>
      <c r="H28" s="181"/>
      <c r="I28" s="181"/>
      <c r="J28" s="181"/>
      <c r="K28" s="181"/>
      <c r="L28" s="91">
        <v>56</v>
      </c>
      <c r="M28" s="94" t="str">
        <f>VLOOKUP(N28,Sheet1!$A$1:$B$93,2)</f>
        <v xml:space="preserve"> ست و نصف</v>
      </c>
      <c r="N28" s="68">
        <f>VLOOKUP($U$8,'Nilai Tahriri'!$A$2:$AP$41,22,FALSE)</f>
        <v>6.5</v>
      </c>
      <c r="O28" s="103"/>
      <c r="P28" s="181" t="s">
        <v>116</v>
      </c>
      <c r="Q28" s="182"/>
      <c r="R28" s="64">
        <v>20</v>
      </c>
      <c r="S28" s="21"/>
      <c r="T28" s="21"/>
      <c r="U28" s="21"/>
      <c r="V28" s="21"/>
      <c r="W28" s="21"/>
      <c r="X28" s="21"/>
      <c r="Y28" s="21"/>
      <c r="Z28" s="21"/>
      <c r="AA28" s="21"/>
      <c r="AB28" s="21"/>
    </row>
    <row r="29" spans="2:28" ht="15.65" customHeight="1" thickBot="1" x14ac:dyDescent="0.4">
      <c r="B29" s="231" t="s">
        <v>140</v>
      </c>
      <c r="C29" s="232"/>
      <c r="D29" s="232"/>
      <c r="E29" s="232"/>
      <c r="F29" s="232"/>
      <c r="G29" s="232"/>
      <c r="H29" s="232"/>
      <c r="I29" s="232"/>
      <c r="J29" s="232"/>
      <c r="K29" s="232"/>
      <c r="L29" s="232"/>
      <c r="M29" s="94" t="str">
        <f>VLOOKUP(N29,Sheet1!$A$1:$B$93,2)</f>
        <v xml:space="preserve"> خمس</v>
      </c>
      <c r="N29" s="68">
        <f>VLOOKUP($U$8,'Nilai Tahriri'!$A$2:$AP$41,23,FALSE)</f>
        <v>5</v>
      </c>
      <c r="O29" s="103"/>
      <c r="P29" s="181" t="s">
        <v>117</v>
      </c>
      <c r="Q29" s="182"/>
      <c r="R29" s="64">
        <v>21</v>
      </c>
      <c r="S29" s="21"/>
      <c r="T29" s="21"/>
      <c r="U29" s="21"/>
      <c r="V29" s="21"/>
      <c r="W29" s="21"/>
      <c r="X29" s="21"/>
      <c r="Y29" s="21"/>
      <c r="Z29" s="21"/>
      <c r="AA29" s="21"/>
      <c r="AB29" s="21"/>
    </row>
    <row r="30" spans="2:28" ht="15.65" customHeight="1" x14ac:dyDescent="0.35">
      <c r="B30" s="36"/>
      <c r="C30" s="196"/>
      <c r="D30" s="196"/>
      <c r="E30" s="196"/>
      <c r="F30" s="196"/>
      <c r="G30" s="185" t="s">
        <v>21</v>
      </c>
      <c r="H30" s="186"/>
      <c r="I30" s="186"/>
      <c r="J30" s="186"/>
      <c r="K30" s="187"/>
      <c r="L30" s="92">
        <v>57</v>
      </c>
      <c r="M30" s="94" t="str">
        <f>VLOOKUP(N30,Sheet1!$A$1:$B$93,2)</f>
        <v xml:space="preserve"> ستّ</v>
      </c>
      <c r="N30" s="68">
        <f>VLOOKUP($U$8,'Nilai Tahriri'!$A$2:$AP$41,24,FALSE)</f>
        <v>6</v>
      </c>
      <c r="O30" s="103"/>
      <c r="P30" s="181" t="s">
        <v>118</v>
      </c>
      <c r="Q30" s="182"/>
      <c r="R30" s="64">
        <v>22</v>
      </c>
      <c r="S30" s="21"/>
      <c r="T30" s="21"/>
      <c r="U30" s="21"/>
      <c r="V30" s="21"/>
      <c r="W30" s="21"/>
      <c r="X30" s="21"/>
      <c r="Y30" s="21"/>
      <c r="Z30" s="21"/>
      <c r="AA30" s="21"/>
      <c r="AB30" s="21"/>
    </row>
    <row r="31" spans="2:28" ht="15.65" customHeight="1" x14ac:dyDescent="0.35">
      <c r="B31" s="36" t="str">
        <f>VLOOKUP(C31,Sheet1!$A$1:$B$93,2)</f>
        <v xml:space="preserve"> </v>
      </c>
      <c r="C31" s="196"/>
      <c r="D31" s="196"/>
      <c r="E31" s="196"/>
      <c r="F31" s="196"/>
      <c r="G31" s="195" t="s">
        <v>22</v>
      </c>
      <c r="H31" s="181"/>
      <c r="I31" s="181"/>
      <c r="J31" s="181"/>
      <c r="K31" s="182"/>
      <c r="L31" s="89">
        <v>58</v>
      </c>
      <c r="M31" s="94" t="str">
        <f>VLOOKUP(N31,Sheet1!$A$1:$B$93,2)</f>
        <v xml:space="preserve"> </v>
      </c>
      <c r="N31" s="68">
        <f>VLOOKUP($U$8,'Nilai Tahriri'!$A$2:$AP$41,25,FALSE)</f>
        <v>0</v>
      </c>
      <c r="O31" s="103"/>
      <c r="P31" s="181" t="s">
        <v>119</v>
      </c>
      <c r="Q31" s="182"/>
      <c r="R31" s="64">
        <v>23</v>
      </c>
      <c r="S31" s="21"/>
      <c r="T31" s="21"/>
      <c r="U31" s="21"/>
      <c r="V31" s="21"/>
      <c r="W31" s="21"/>
      <c r="X31" s="21"/>
      <c r="Y31" s="21"/>
      <c r="Z31" s="21"/>
      <c r="AA31" s="21"/>
      <c r="AB31" s="21"/>
    </row>
    <row r="32" spans="2:28" ht="15.65" customHeight="1" x14ac:dyDescent="0.35">
      <c r="B32" s="63" t="str">
        <f>VLOOKUP(C32,Sheet1!$A$1:$B$93,2)</f>
        <v xml:space="preserve"> </v>
      </c>
      <c r="C32" s="236"/>
      <c r="D32" s="236"/>
      <c r="E32" s="236"/>
      <c r="F32" s="236"/>
      <c r="G32" s="195" t="s">
        <v>24</v>
      </c>
      <c r="H32" s="181"/>
      <c r="I32" s="181"/>
      <c r="J32" s="181"/>
      <c r="K32" s="182"/>
      <c r="L32" s="92">
        <v>59</v>
      </c>
      <c r="M32" s="94" t="str">
        <f>VLOOKUP(N32,Sheet1!$A$1:$B$93,2)</f>
        <v xml:space="preserve"> اربع</v>
      </c>
      <c r="N32" s="68">
        <f>VLOOKUP($U$8,'Nilai Tahriri'!$A$2:$AP$41,26,FALSE)</f>
        <v>4</v>
      </c>
      <c r="O32" s="103"/>
      <c r="P32" s="181" t="s">
        <v>28</v>
      </c>
      <c r="Q32" s="182"/>
      <c r="R32" s="64">
        <v>24</v>
      </c>
      <c r="S32" s="21"/>
      <c r="T32" s="21"/>
      <c r="U32" s="21"/>
      <c r="V32" s="21"/>
      <c r="W32" s="21"/>
      <c r="X32" s="21"/>
      <c r="Y32" s="21"/>
      <c r="Z32" s="21"/>
      <c r="AA32" s="21"/>
      <c r="AB32" s="21"/>
    </row>
    <row r="33" spans="2:28" ht="15.65" customHeight="1" thickBot="1" x14ac:dyDescent="0.4">
      <c r="B33" s="63" t="str">
        <f>VLOOKUP(C33,Sheet1!$A$1:$B$93,2)</f>
        <v xml:space="preserve"> </v>
      </c>
      <c r="C33" s="236"/>
      <c r="D33" s="236"/>
      <c r="E33" s="236"/>
      <c r="F33" s="236"/>
      <c r="G33" s="277" t="s">
        <v>25</v>
      </c>
      <c r="H33" s="278"/>
      <c r="I33" s="278"/>
      <c r="J33" s="278"/>
      <c r="K33" s="279"/>
      <c r="L33" s="89">
        <v>60</v>
      </c>
      <c r="M33" s="94" t="str">
        <f>VLOOKUP(N33,Sheet1!$A$1:$B$93,2)</f>
        <v xml:space="preserve"> سبع</v>
      </c>
      <c r="N33" s="68">
        <f>VLOOKUP($U$8,'Nilai Tahriri'!$A$2:$AP$41,27,FALSE)</f>
        <v>7</v>
      </c>
      <c r="O33" s="103"/>
      <c r="P33" s="181" t="s">
        <v>120</v>
      </c>
      <c r="Q33" s="182"/>
      <c r="R33" s="64">
        <v>25</v>
      </c>
      <c r="S33" s="21"/>
      <c r="T33" s="21"/>
      <c r="U33" s="21"/>
      <c r="V33" s="21"/>
      <c r="W33" s="21"/>
      <c r="X33" s="21"/>
      <c r="Y33" s="21"/>
      <c r="Z33" s="21"/>
      <c r="AA33" s="21"/>
      <c r="AB33" s="21"/>
    </row>
    <row r="34" spans="2:28" ht="15.65" customHeight="1" thickBot="1" x14ac:dyDescent="0.4">
      <c r="B34" s="245">
        <f>VLOOKUP($U$8,'Nilai Syafahi'!$A$4:$AA$43,21,FALSE)</f>
        <v>87</v>
      </c>
      <c r="C34" s="246"/>
      <c r="D34" s="246"/>
      <c r="E34" s="246"/>
      <c r="F34" s="246"/>
      <c r="G34" s="246"/>
      <c r="H34" s="246"/>
      <c r="I34" s="246"/>
      <c r="J34" s="246"/>
      <c r="K34" s="247" t="s">
        <v>27</v>
      </c>
      <c r="L34" s="248"/>
      <c r="M34" s="94" t="str">
        <f>VLOOKUP(N34,Sheet1!$A$1:$B$93,2)</f>
        <v xml:space="preserve"> ستّ</v>
      </c>
      <c r="N34" s="68">
        <f>VLOOKUP($U$8,'Nilai Tahriri'!$A$2:$AP$41,28,FALSE)</f>
        <v>6</v>
      </c>
      <c r="O34" s="103"/>
      <c r="P34" s="181" t="s">
        <v>121</v>
      </c>
      <c r="Q34" s="182"/>
      <c r="R34" s="64">
        <v>26</v>
      </c>
      <c r="S34" s="21"/>
      <c r="T34" s="21"/>
      <c r="U34" s="21"/>
      <c r="V34" s="21"/>
      <c r="W34" s="21"/>
      <c r="X34" s="21"/>
      <c r="Y34" s="21"/>
      <c r="Z34" s="21"/>
      <c r="AA34" s="21"/>
      <c r="AB34" s="21"/>
    </row>
    <row r="35" spans="2:28" ht="17.149999999999999" customHeight="1" thickBot="1" x14ac:dyDescent="0.4">
      <c r="B35" s="258"/>
      <c r="C35" s="259"/>
      <c r="D35" s="259"/>
      <c r="E35" s="259"/>
      <c r="F35" s="259"/>
      <c r="G35" s="259"/>
      <c r="H35" s="259"/>
      <c r="I35" s="259"/>
      <c r="J35" s="259"/>
      <c r="K35" s="260"/>
      <c r="L35" s="207"/>
      <c r="M35" s="94" t="str">
        <f>VLOOKUP(N35,Sheet1!$A$1:$B$93,2)</f>
        <v xml:space="preserve"> سبع و ست</v>
      </c>
      <c r="N35" s="96">
        <f>VLOOKUP($U$8,'Nilai Tahriri'!$A$2:$AP$41,29,FALSE)</f>
        <v>7.6</v>
      </c>
      <c r="O35" s="102" t="s">
        <v>138</v>
      </c>
      <c r="P35" s="181" t="s">
        <v>122</v>
      </c>
      <c r="Q35" s="182"/>
      <c r="R35" s="97">
        <v>27</v>
      </c>
      <c r="S35" s="21"/>
      <c r="T35" s="21"/>
      <c r="U35" s="21"/>
      <c r="V35" s="21"/>
      <c r="W35" s="21"/>
      <c r="X35" s="21"/>
      <c r="Y35" s="21"/>
      <c r="Z35" s="21"/>
      <c r="AA35" s="21"/>
      <c r="AB35" s="21"/>
    </row>
    <row r="36" spans="2:28" ht="15.65" customHeight="1" thickBot="1" x14ac:dyDescent="0.4">
      <c r="B36" s="240" t="s">
        <v>31</v>
      </c>
      <c r="C36" s="241"/>
      <c r="D36" s="241"/>
      <c r="E36" s="241"/>
      <c r="F36" s="241"/>
      <c r="G36" s="241"/>
      <c r="H36" s="241"/>
      <c r="I36" s="241"/>
      <c r="J36" s="241"/>
      <c r="K36" s="242"/>
      <c r="L36" s="208"/>
      <c r="M36" s="94" t="str">
        <f>VLOOKUP(N36,Sheet1!$A$1:$B$93,2)</f>
        <v xml:space="preserve"> خمس و نصف</v>
      </c>
      <c r="N36" s="68">
        <f>VLOOKUP($U$8,'Nilai Tahriri'!$A$2:$AP$41,30,FALSE)</f>
        <v>5.5</v>
      </c>
      <c r="O36" s="102" t="s">
        <v>136</v>
      </c>
      <c r="P36" s="181" t="s">
        <v>123</v>
      </c>
      <c r="Q36" s="182"/>
      <c r="R36" s="64">
        <v>28</v>
      </c>
      <c r="S36" s="21"/>
      <c r="T36" s="21"/>
      <c r="U36" s="21"/>
      <c r="V36" s="21"/>
      <c r="W36" s="21"/>
      <c r="X36" s="21"/>
      <c r="Y36" s="21"/>
      <c r="Z36" s="21"/>
      <c r="AA36" s="21"/>
      <c r="AB36" s="21"/>
    </row>
    <row r="37" spans="2:28" ht="15.65" customHeight="1" x14ac:dyDescent="0.35">
      <c r="B37" s="211" t="s">
        <v>32</v>
      </c>
      <c r="C37" s="212"/>
      <c r="D37" s="212" t="s">
        <v>33</v>
      </c>
      <c r="E37" s="212"/>
      <c r="F37" s="212"/>
      <c r="G37" s="212"/>
      <c r="H37" s="212"/>
      <c r="I37" s="212"/>
      <c r="J37" s="212"/>
      <c r="K37" s="37" t="s">
        <v>34</v>
      </c>
      <c r="L37" s="208"/>
      <c r="M37" s="94" t="str">
        <f>VLOOKUP(N37,Sheet1!$A$1:$B$93,2)</f>
        <v xml:space="preserve"> ثلاث</v>
      </c>
      <c r="N37" s="68">
        <f>VLOOKUP($U$8,'Nilai Tahriri'!$A$2:$AP$41,31,FALSE)</f>
        <v>3</v>
      </c>
      <c r="O37" s="102" t="s">
        <v>137</v>
      </c>
      <c r="P37" s="181" t="s">
        <v>124</v>
      </c>
      <c r="Q37" s="182"/>
      <c r="R37" s="64">
        <v>29</v>
      </c>
      <c r="S37" s="21"/>
      <c r="T37" s="21"/>
      <c r="U37" s="21"/>
      <c r="V37" s="21"/>
      <c r="W37" s="21"/>
      <c r="X37" s="21"/>
      <c r="Y37" s="21"/>
      <c r="Z37" s="21"/>
      <c r="AA37" s="21"/>
      <c r="AB37" s="21"/>
    </row>
    <row r="38" spans="2:28" ht="15.65" customHeight="1" thickBot="1" x14ac:dyDescent="0.4">
      <c r="B38" s="249">
        <f>VLOOKUP($U$8,Akhlak!$A$4:$J$43,6,FALSE)</f>
        <v>8</v>
      </c>
      <c r="C38" s="250"/>
      <c r="D38" s="250">
        <f>VLOOKUP($U$8,Akhlak!$A$4:$J$43,5,FALSE)</f>
        <v>8</v>
      </c>
      <c r="E38" s="250"/>
      <c r="F38" s="250"/>
      <c r="G38" s="250"/>
      <c r="H38" s="250"/>
      <c r="I38" s="250"/>
      <c r="J38" s="250"/>
      <c r="K38" s="38">
        <f>VLOOKUP($U$8,Akhlak!$A$4:$J$43,4,FALSE)</f>
        <v>8</v>
      </c>
      <c r="L38" s="208"/>
      <c r="M38" s="94" t="str">
        <f>VLOOKUP(N38,Sheet1!$A$1:$B$93,2)</f>
        <v xml:space="preserve"> </v>
      </c>
      <c r="N38" s="68"/>
      <c r="O38" s="102" t="s">
        <v>36</v>
      </c>
      <c r="P38" s="181" t="s">
        <v>125</v>
      </c>
      <c r="Q38" s="182"/>
      <c r="R38" s="64">
        <v>30</v>
      </c>
      <c r="S38" s="21"/>
      <c r="T38" s="21"/>
      <c r="U38" s="21"/>
      <c r="V38" s="21"/>
      <c r="W38" s="21"/>
      <c r="X38" s="21"/>
      <c r="Y38" s="21"/>
      <c r="Z38" s="21"/>
      <c r="AA38" s="21"/>
      <c r="AB38" s="21"/>
    </row>
    <row r="39" spans="2:28" ht="15.65" customHeight="1" thickBot="1" x14ac:dyDescent="0.4">
      <c r="B39" s="213" t="s">
        <v>35</v>
      </c>
      <c r="C39" s="214"/>
      <c r="D39" s="214"/>
      <c r="E39" s="214"/>
      <c r="F39" s="214"/>
      <c r="G39" s="214"/>
      <c r="H39" s="214"/>
      <c r="I39" s="214"/>
      <c r="J39" s="214"/>
      <c r="K39" s="215"/>
      <c r="L39" s="208"/>
      <c r="M39" s="94" t="str">
        <f>VLOOKUP(N39,Sheet1!$A$1:$B$93,2)</f>
        <v xml:space="preserve"> </v>
      </c>
      <c r="N39" s="68"/>
      <c r="O39" s="102" t="s">
        <v>40</v>
      </c>
      <c r="P39" s="181" t="s">
        <v>126</v>
      </c>
      <c r="Q39" s="182"/>
      <c r="R39" s="64">
        <v>31</v>
      </c>
      <c r="S39" s="21"/>
      <c r="T39" s="21"/>
      <c r="U39" s="21"/>
      <c r="V39" s="21"/>
      <c r="W39" s="21"/>
      <c r="X39" s="21"/>
      <c r="Y39" s="21"/>
      <c r="Z39" s="21"/>
      <c r="AA39" s="21"/>
      <c r="AB39" s="21"/>
    </row>
    <row r="40" spans="2:28" ht="15.65" customHeight="1" x14ac:dyDescent="0.35">
      <c r="B40" s="216" t="s">
        <v>37</v>
      </c>
      <c r="C40" s="217"/>
      <c r="D40" s="217" t="s">
        <v>38</v>
      </c>
      <c r="E40" s="217"/>
      <c r="F40" s="217"/>
      <c r="G40" s="217"/>
      <c r="H40" s="217"/>
      <c r="I40" s="217"/>
      <c r="J40" s="217"/>
      <c r="K40" s="37" t="s">
        <v>39</v>
      </c>
      <c r="L40" s="208"/>
      <c r="M40" s="94" t="str">
        <f>VLOOKUP(N40,Sheet1!$A$1:$B$93,2)</f>
        <v xml:space="preserve"> </v>
      </c>
      <c r="N40" s="68"/>
      <c r="O40" s="102" t="s">
        <v>43</v>
      </c>
      <c r="P40" s="181" t="s">
        <v>127</v>
      </c>
      <c r="Q40" s="182"/>
      <c r="R40" s="64">
        <v>32</v>
      </c>
      <c r="S40" s="21"/>
      <c r="T40" s="21"/>
      <c r="U40" s="104"/>
      <c r="V40" s="21"/>
      <c r="W40" s="21"/>
      <c r="X40" s="21"/>
      <c r="Y40" s="21"/>
      <c r="Z40" s="21"/>
      <c r="AA40" s="21"/>
      <c r="AB40" s="21"/>
    </row>
    <row r="41" spans="2:28" ht="15.65" customHeight="1" thickBot="1" x14ac:dyDescent="0.4">
      <c r="B41" s="237" t="str">
        <f>VLOOKUP($U$8,Akhlak!$A$4:$J$43,9,FALSE)</f>
        <v>-</v>
      </c>
      <c r="C41" s="238"/>
      <c r="D41" s="238" t="str">
        <f>VLOOKUP($U$8,Akhlak!$A$4:$J$43,8,FALSE)</f>
        <v>-</v>
      </c>
      <c r="E41" s="238"/>
      <c r="F41" s="238"/>
      <c r="G41" s="238"/>
      <c r="H41" s="238"/>
      <c r="I41" s="238"/>
      <c r="J41" s="238"/>
      <c r="K41" s="38" t="str">
        <f>VLOOKUP($U$8,Akhlak!$A$4:$J$43,7,FALSE)</f>
        <v>-</v>
      </c>
      <c r="L41" s="208"/>
      <c r="M41" s="94" t="str">
        <f>VLOOKUP(N41,Sheet1!$A$1:$B$93,2)</f>
        <v xml:space="preserve"> اربع و نصف</v>
      </c>
      <c r="N41" s="68">
        <f>VLOOKUP($U$8,'Nilai Tahriri'!$A$2:$AP$41,35,FALSE)</f>
        <v>4.5</v>
      </c>
      <c r="O41" s="102" t="s">
        <v>44</v>
      </c>
      <c r="P41" s="181" t="s">
        <v>128</v>
      </c>
      <c r="Q41" s="182"/>
      <c r="R41" s="64">
        <v>33</v>
      </c>
      <c r="S41" s="21"/>
      <c r="T41" s="21"/>
      <c r="U41" s="21"/>
      <c r="V41" s="21"/>
      <c r="W41" s="21"/>
      <c r="X41" s="21"/>
      <c r="Y41" s="21"/>
      <c r="Z41" s="21"/>
      <c r="AA41" s="21"/>
      <c r="AB41" s="21"/>
    </row>
    <row r="42" spans="2:28" ht="15.65" customHeight="1" thickBot="1" x14ac:dyDescent="0.4">
      <c r="B42" s="234" t="s">
        <v>41</v>
      </c>
      <c r="C42" s="235"/>
      <c r="D42" s="261" t="s">
        <v>42</v>
      </c>
      <c r="E42" s="261"/>
      <c r="F42" s="261"/>
      <c r="G42" s="261"/>
      <c r="H42" s="261"/>
      <c r="I42" s="261"/>
      <c r="J42" s="261"/>
      <c r="K42" s="262"/>
      <c r="L42" s="209"/>
      <c r="M42" s="94" t="str">
        <f>VLOOKUP(N42,Sheet1!$A$1:$B$93,2)</f>
        <v xml:space="preserve"> سبع</v>
      </c>
      <c r="N42" s="68">
        <f>VLOOKUP($U$8,'Nilai Tahriri'!$A$2:$AP$41,36,FALSE)</f>
        <v>7</v>
      </c>
      <c r="O42" s="102" t="s">
        <v>46</v>
      </c>
      <c r="P42" s="181" t="s">
        <v>129</v>
      </c>
      <c r="Q42" s="182"/>
      <c r="R42" s="64">
        <v>34</v>
      </c>
      <c r="S42" s="21"/>
      <c r="T42" s="21"/>
      <c r="U42" s="21"/>
      <c r="V42" s="21"/>
      <c r="W42" s="21"/>
      <c r="X42" s="21"/>
      <c r="Y42" s="21"/>
      <c r="Z42" s="21"/>
      <c r="AA42" s="21"/>
      <c r="AB42" s="21"/>
    </row>
    <row r="43" spans="2:28" ht="15.65" customHeight="1" x14ac:dyDescent="0.35">
      <c r="B43" s="226">
        <f ca="1">VLOOKUP($U$8,'Nilai Syafahi'!$A$4:$AA$43,26,FALSE)</f>
        <v>2</v>
      </c>
      <c r="C43" s="227"/>
      <c r="D43" s="220">
        <f>VLOOKUP($U$8,'Nilai Syafahi'!$A$4:$AA$43,25,FALSE)</f>
        <v>5.7520833333333323</v>
      </c>
      <c r="E43" s="221"/>
      <c r="F43" s="221"/>
      <c r="G43" s="221"/>
      <c r="H43" s="221"/>
      <c r="I43" s="221"/>
      <c r="J43" s="222"/>
      <c r="K43" s="218">
        <f>VLOOKUP($U$8,'Nilai Syafahi'!$A$4:$AA$43,24,FALSE)</f>
        <v>276.10000000000002</v>
      </c>
      <c r="L43" s="208"/>
      <c r="M43" s="94" t="str">
        <f>VLOOKUP(N43,Sheet1!$A$1:$B$93,2)</f>
        <v xml:space="preserve"> سبع و ست</v>
      </c>
      <c r="N43" s="68">
        <f>VLOOKUP($U$8,'Nilai Tahriri'!$A$2:$AP$41,37,FALSE)</f>
        <v>7.6</v>
      </c>
      <c r="O43" s="102" t="s">
        <v>47</v>
      </c>
      <c r="P43" s="181" t="s">
        <v>130</v>
      </c>
      <c r="Q43" s="182"/>
      <c r="R43" s="64">
        <v>35</v>
      </c>
      <c r="S43" s="21"/>
      <c r="T43" s="21"/>
      <c r="U43" s="21"/>
      <c r="V43" s="21"/>
      <c r="W43" s="21"/>
      <c r="X43" s="21"/>
      <c r="Y43" s="21"/>
      <c r="Z43" s="21"/>
      <c r="AA43" s="21"/>
      <c r="AB43" s="21"/>
    </row>
    <row r="44" spans="2:28" ht="15.65" customHeight="1" thickBot="1" x14ac:dyDescent="0.4">
      <c r="B44" s="228"/>
      <c r="C44" s="229"/>
      <c r="D44" s="223"/>
      <c r="E44" s="224"/>
      <c r="F44" s="224"/>
      <c r="G44" s="224"/>
      <c r="H44" s="224"/>
      <c r="I44" s="224"/>
      <c r="J44" s="225"/>
      <c r="K44" s="219"/>
      <c r="L44" s="208"/>
      <c r="M44" s="94" t="str">
        <f>VLOOKUP(N44,Sheet1!$A$1:$B$93,2)</f>
        <v xml:space="preserve"> سبع و تسع</v>
      </c>
      <c r="N44" s="68">
        <f>VLOOKUP($U$8,'Nilai Tahriri'!$A$2:$AP$41,38,FALSE)</f>
        <v>7.9</v>
      </c>
      <c r="O44" s="102" t="s">
        <v>134</v>
      </c>
      <c r="P44" s="181" t="s">
        <v>131</v>
      </c>
      <c r="Q44" s="182"/>
      <c r="R44" s="64">
        <v>36</v>
      </c>
      <c r="S44" s="21"/>
      <c r="T44" s="21"/>
      <c r="U44" s="21"/>
      <c r="V44" s="21"/>
      <c r="W44" s="21"/>
      <c r="X44" s="21"/>
      <c r="Y44" s="21"/>
      <c r="Z44" s="21"/>
      <c r="AA44" s="21"/>
      <c r="AB44" s="21"/>
    </row>
    <row r="45" spans="2:28" ht="15.65" customHeight="1" thickBot="1" x14ac:dyDescent="0.4">
      <c r="B45" s="256" t="s">
        <v>45</v>
      </c>
      <c r="C45" s="257"/>
      <c r="D45" s="257"/>
      <c r="E45" s="257"/>
      <c r="F45" s="257"/>
      <c r="G45" s="257"/>
      <c r="H45" s="257"/>
      <c r="I45" s="257"/>
      <c r="J45" s="257"/>
      <c r="K45" s="257"/>
      <c r="L45" s="208"/>
      <c r="M45" s="94" t="str">
        <f>VLOOKUP(N45,Sheet1!$A$1:$B$93,2)</f>
        <v xml:space="preserve"> ثمان</v>
      </c>
      <c r="N45" s="68">
        <f>VLOOKUP($U$8,'Nilai Tahriri'!$A$2:$AP$41,39,FALSE)</f>
        <v>8</v>
      </c>
      <c r="O45" s="102" t="s">
        <v>92</v>
      </c>
      <c r="P45" s="181" t="s">
        <v>132</v>
      </c>
      <c r="Q45" s="182"/>
      <c r="R45" s="64">
        <v>37</v>
      </c>
      <c r="S45" s="21"/>
      <c r="T45" s="21"/>
      <c r="U45" s="21"/>
      <c r="V45" s="230"/>
      <c r="W45" s="230"/>
      <c r="X45" s="230"/>
      <c r="Y45" s="21"/>
      <c r="Z45" s="21"/>
      <c r="AA45" s="21"/>
      <c r="AB45" s="21"/>
    </row>
    <row r="46" spans="2:28" ht="15.65" customHeight="1" x14ac:dyDescent="0.35">
      <c r="B46" s="251" t="str">
        <f>VLOOKUP($U$8,Akhlak!$A$4:$J$43,10,FALSE)</f>
        <v>ماالعلم إلاّ للعمل به  والعمل به ترك العاجل الآجل</v>
      </c>
      <c r="C46" s="252"/>
      <c r="D46" s="252"/>
      <c r="E46" s="252"/>
      <c r="F46" s="252"/>
      <c r="G46" s="252"/>
      <c r="H46" s="252"/>
      <c r="I46" s="252"/>
      <c r="J46" s="252"/>
      <c r="K46" s="253"/>
      <c r="L46" s="208"/>
      <c r="M46" s="94" t="str">
        <f>VLOOKUP(N46,Sheet1!$A$1:$B$93,2)</f>
        <v xml:space="preserve"> </v>
      </c>
      <c r="N46" s="68"/>
      <c r="O46" s="102" t="s">
        <v>48</v>
      </c>
      <c r="P46" s="181" t="s">
        <v>133</v>
      </c>
      <c r="Q46" s="182"/>
      <c r="R46" s="64">
        <v>38</v>
      </c>
      <c r="S46" s="21"/>
      <c r="T46" s="21"/>
      <c r="U46" s="21"/>
      <c r="V46" s="21"/>
      <c r="W46" s="21"/>
      <c r="X46" s="21"/>
      <c r="Y46" s="21"/>
      <c r="Z46" s="21"/>
      <c r="AA46" s="21"/>
      <c r="AB46" s="21"/>
    </row>
    <row r="47" spans="2:28" ht="15.65" customHeight="1" thickBot="1" x14ac:dyDescent="0.4">
      <c r="B47" s="254"/>
      <c r="C47" s="192"/>
      <c r="D47" s="192"/>
      <c r="E47" s="192"/>
      <c r="F47" s="192"/>
      <c r="G47" s="192"/>
      <c r="H47" s="192"/>
      <c r="I47" s="192"/>
      <c r="J47" s="192"/>
      <c r="K47" s="255"/>
      <c r="L47" s="208"/>
      <c r="M47" s="95" t="str">
        <f>VLOOKUP(N47,Sheet1!$A$1:$B$93,2)</f>
        <v xml:space="preserve"> ثمان</v>
      </c>
      <c r="N47" s="68">
        <f>VLOOKUP($U$8,'Nilai Tahriri'!$A$2:$AP$41,40,FALSE)</f>
        <v>8</v>
      </c>
      <c r="O47" s="101" t="s">
        <v>135</v>
      </c>
      <c r="P47" s="243" t="s">
        <v>53</v>
      </c>
      <c r="Q47" s="244"/>
      <c r="R47" s="85">
        <v>39</v>
      </c>
      <c r="S47" s="21"/>
      <c r="T47" s="21"/>
      <c r="U47" s="21"/>
      <c r="V47" s="21"/>
      <c r="W47" s="21"/>
      <c r="X47" s="21"/>
      <c r="Y47" s="21"/>
      <c r="Z47" s="21"/>
      <c r="AA47" s="21"/>
      <c r="AB47" s="21"/>
    </row>
    <row r="48" spans="2:28" ht="18.399999999999999" customHeight="1" thickBot="1" x14ac:dyDescent="0.4">
      <c r="B48" s="269" t="s">
        <v>275</v>
      </c>
      <c r="C48" s="270"/>
      <c r="D48" s="270"/>
      <c r="E48" s="270"/>
      <c r="F48" s="270"/>
      <c r="G48" s="270"/>
      <c r="H48" s="270"/>
      <c r="I48" s="270"/>
      <c r="J48" s="270"/>
      <c r="K48" s="82" t="s">
        <v>181</v>
      </c>
      <c r="L48" s="210"/>
      <c r="M48" s="271">
        <f>VLOOKUP($U$8,'Nilai Tahriri'!$A$2:$AP$41,41,FALSE)</f>
        <v>189.1</v>
      </c>
      <c r="N48" s="272">
        <f>VLOOKUP($U$8,'Nilai Tahriri'!$A$2:$AO$41,41,FALSE)</f>
        <v>189.1</v>
      </c>
      <c r="O48" s="272">
        <f>VLOOKUP($U$8,'Nilai Tahriri'!$A$2:$AO$41,41,FALSE)</f>
        <v>189.1</v>
      </c>
      <c r="P48" s="203" t="s">
        <v>27</v>
      </c>
      <c r="Q48" s="203"/>
      <c r="R48" s="204"/>
      <c r="S48" s="21"/>
      <c r="T48" s="21"/>
      <c r="U48" s="21"/>
      <c r="V48" s="21"/>
      <c r="W48" s="21"/>
      <c r="X48" s="21"/>
      <c r="Y48" s="21"/>
      <c r="Z48" s="233"/>
      <c r="AA48" s="233"/>
      <c r="AB48" s="233"/>
    </row>
    <row r="49" spans="2:28" ht="8.25" customHeight="1" x14ac:dyDescent="0.35">
      <c r="B49" s="39"/>
      <c r="C49" s="39"/>
      <c r="D49" s="39"/>
      <c r="E49" s="39"/>
      <c r="F49" s="39"/>
      <c r="G49" s="39"/>
      <c r="H49" s="39"/>
      <c r="I49" s="39"/>
      <c r="J49" s="39"/>
      <c r="K49" s="39"/>
      <c r="L49" s="40"/>
      <c r="M49" s="41"/>
      <c r="N49" s="42"/>
      <c r="O49" s="43"/>
      <c r="P49" s="44"/>
      <c r="Q49" s="44"/>
      <c r="R49" s="44"/>
      <c r="S49" s="21"/>
      <c r="T49" s="21"/>
      <c r="U49" s="21"/>
      <c r="V49" s="21"/>
      <c r="W49" s="21"/>
      <c r="X49" s="21"/>
      <c r="Y49" s="21"/>
      <c r="Z49" s="21"/>
      <c r="AA49" s="21"/>
      <c r="AB49" s="21"/>
    </row>
    <row r="50" spans="2:28" ht="18.25" customHeight="1" x14ac:dyDescent="0.35">
      <c r="B50" s="45"/>
      <c r="C50" s="205"/>
      <c r="D50" s="205"/>
      <c r="E50" s="205"/>
      <c r="F50" s="205"/>
      <c r="G50" s="205"/>
      <c r="H50" s="205"/>
      <c r="I50" s="205"/>
      <c r="J50" s="205"/>
      <c r="K50" s="205"/>
      <c r="L50" s="46"/>
      <c r="M50" s="202" t="str">
        <f>Biodata!$C$13</f>
        <v>١٩ من جمادى الآخر سنة ١٤٤٦ ه</v>
      </c>
      <c r="N50" s="202"/>
      <c r="O50" s="202"/>
      <c r="P50" s="202"/>
      <c r="Q50" s="206" t="s">
        <v>49</v>
      </c>
      <c r="R50" s="206"/>
      <c r="S50" s="21"/>
      <c r="T50" s="21"/>
      <c r="U50" s="21"/>
      <c r="V50" s="21"/>
      <c r="W50" s="21"/>
      <c r="X50" s="21"/>
      <c r="Y50" s="21"/>
      <c r="Z50" s="21"/>
      <c r="AA50" s="21"/>
      <c r="AB50" s="21"/>
    </row>
    <row r="51" spans="2:28" ht="18.25" customHeight="1" x14ac:dyDescent="0.35">
      <c r="B51" s="45"/>
      <c r="C51" s="205"/>
      <c r="D51" s="205"/>
      <c r="E51" s="205"/>
      <c r="F51" s="205"/>
      <c r="G51" s="205"/>
      <c r="H51" s="205"/>
      <c r="I51" s="205"/>
      <c r="J51" s="205"/>
      <c r="K51" s="205"/>
      <c r="L51" s="46"/>
      <c r="M51" s="202" t="str">
        <f>Biodata!$C$14</f>
        <v>٢٠ من ديسمبر سنة ٢٠٢٤ م</v>
      </c>
      <c r="N51" s="202"/>
      <c r="O51" s="202"/>
      <c r="P51" s="202"/>
      <c r="Q51" s="206"/>
      <c r="R51" s="206"/>
      <c r="S51" s="21"/>
      <c r="T51" s="21"/>
      <c r="U51" s="21"/>
      <c r="V51" s="21"/>
      <c r="W51" s="21"/>
      <c r="X51" s="21"/>
      <c r="Y51" s="21"/>
      <c r="Z51" s="21"/>
      <c r="AA51" s="21"/>
      <c r="AB51" s="21"/>
    </row>
    <row r="52" spans="2:28" ht="18.25" customHeight="1" x14ac:dyDescent="0.35">
      <c r="B52" s="45"/>
      <c r="C52" s="47"/>
      <c r="D52" s="47"/>
      <c r="E52" s="47"/>
      <c r="F52" s="47"/>
      <c r="G52" s="47"/>
      <c r="H52" s="47"/>
      <c r="I52" s="47"/>
      <c r="J52" s="47"/>
      <c r="K52" s="47"/>
      <c r="L52" s="48"/>
      <c r="M52" s="47"/>
      <c r="N52" s="49"/>
      <c r="O52" s="47"/>
      <c r="P52" s="47"/>
      <c r="Q52" s="47" t="s">
        <v>50</v>
      </c>
      <c r="R52" s="47"/>
      <c r="S52" s="21"/>
      <c r="T52" s="21"/>
      <c r="U52" s="21"/>
      <c r="V52" s="21"/>
      <c r="W52" s="21"/>
      <c r="X52" s="21"/>
      <c r="Y52" s="21"/>
      <c r="Z52" s="21"/>
      <c r="AA52" s="21"/>
      <c r="AB52" s="21"/>
    </row>
    <row r="53" spans="2:28" ht="18.25" customHeight="1" x14ac:dyDescent="0.35">
      <c r="B53" s="265" t="s">
        <v>51</v>
      </c>
      <c r="C53" s="265"/>
      <c r="D53" s="265"/>
      <c r="E53" s="265"/>
      <c r="F53" s="265"/>
      <c r="G53" s="265"/>
      <c r="H53" s="265"/>
      <c r="I53" s="265"/>
      <c r="J53" s="265"/>
      <c r="K53" s="265"/>
      <c r="L53" s="46"/>
      <c r="M53" s="45"/>
      <c r="N53" s="50"/>
      <c r="O53" s="264" t="s">
        <v>52</v>
      </c>
      <c r="P53" s="264"/>
      <c r="Q53" s="264"/>
      <c r="R53" s="45"/>
      <c r="S53" s="21"/>
      <c r="T53" s="21"/>
      <c r="U53" s="21"/>
      <c r="V53" s="21"/>
      <c r="W53" s="21"/>
      <c r="X53" s="21"/>
      <c r="Y53" s="21"/>
      <c r="Z53" s="21"/>
      <c r="AA53" s="21"/>
      <c r="AB53" s="21"/>
    </row>
    <row r="54" spans="2:28" ht="18.25" customHeight="1" x14ac:dyDescent="0.35">
      <c r="B54" s="51"/>
      <c r="C54" s="51"/>
      <c r="D54" s="51"/>
      <c r="E54" s="51"/>
      <c r="F54" s="51"/>
      <c r="G54" s="51"/>
      <c r="H54" s="51"/>
      <c r="I54" s="51"/>
      <c r="J54" s="51"/>
      <c r="K54" s="173" t="s">
        <v>160</v>
      </c>
      <c r="L54" s="173"/>
      <c r="M54" s="173"/>
      <c r="N54" s="173"/>
      <c r="O54" s="173"/>
      <c r="P54" s="46"/>
      <c r="Q54" s="46"/>
      <c r="R54" s="45"/>
      <c r="S54" s="21"/>
      <c r="T54" s="21"/>
      <c r="U54" s="21"/>
      <c r="V54" s="21"/>
      <c r="W54" s="21"/>
      <c r="X54" s="21"/>
      <c r="Y54" s="21"/>
      <c r="Z54" s="21"/>
      <c r="AA54" s="21"/>
      <c r="AB54" s="21"/>
    </row>
    <row r="55" spans="2:28" ht="18.25" customHeight="1" x14ac:dyDescent="0.35">
      <c r="B55" s="51"/>
      <c r="C55" s="51"/>
      <c r="D55" s="51"/>
      <c r="E55" s="51"/>
      <c r="F55" s="51"/>
      <c r="G55" s="51"/>
      <c r="H55" s="51"/>
      <c r="I55" s="51"/>
      <c r="J55" s="51"/>
      <c r="K55" s="51"/>
      <c r="O55" s="46"/>
      <c r="P55" s="46"/>
      <c r="Q55" s="46"/>
      <c r="R55" s="45"/>
      <c r="S55" s="21"/>
      <c r="T55" s="21"/>
      <c r="U55" s="21"/>
      <c r="V55" s="21"/>
      <c r="W55" s="21"/>
      <c r="X55" s="21"/>
      <c r="Y55" s="21"/>
      <c r="Z55" s="21"/>
      <c r="AA55" s="21"/>
      <c r="AB55" s="21"/>
    </row>
    <row r="56" spans="2:28" ht="18.25" customHeight="1" x14ac:dyDescent="0.35">
      <c r="B56" s="84"/>
      <c r="C56" s="84"/>
      <c r="D56" s="84"/>
      <c r="E56" s="84"/>
      <c r="F56" s="84"/>
      <c r="G56" s="84"/>
      <c r="H56" s="84"/>
      <c r="I56" s="84"/>
      <c r="J56" s="84"/>
      <c r="K56" s="84"/>
      <c r="L56" s="46"/>
      <c r="M56" s="45"/>
      <c r="N56" s="50"/>
      <c r="O56" s="266" t="str">
        <f>Biodata!$C$19</f>
        <v>الأســـــــتاذ فــوزي فـــــــردوس</v>
      </c>
      <c r="P56" s="266"/>
      <c r="Q56" s="266"/>
      <c r="R56" s="45"/>
      <c r="S56" s="21"/>
      <c r="T56" s="21"/>
      <c r="U56" s="21"/>
      <c r="V56" s="21"/>
      <c r="W56" s="21"/>
      <c r="X56" s="21"/>
      <c r="Y56" s="21"/>
      <c r="Z56" s="21"/>
      <c r="AA56" s="21"/>
      <c r="AB56" s="21"/>
    </row>
    <row r="57" spans="2:28" ht="18.25" customHeight="1" x14ac:dyDescent="0.35">
      <c r="B57" s="51"/>
      <c r="C57" s="51"/>
      <c r="D57" s="51"/>
      <c r="E57" s="51"/>
      <c r="F57" s="51"/>
      <c r="G57" s="51"/>
      <c r="H57" s="51"/>
      <c r="I57" s="51"/>
      <c r="J57" s="51"/>
      <c r="K57" s="51"/>
      <c r="L57" s="46"/>
      <c r="M57" s="45"/>
      <c r="N57" s="50"/>
      <c r="O57" s="52"/>
      <c r="P57" s="52"/>
      <c r="Q57" s="52"/>
      <c r="R57" s="45"/>
      <c r="S57" s="21"/>
      <c r="T57" s="21"/>
      <c r="U57" s="21"/>
      <c r="V57" s="21"/>
      <c r="W57" s="21"/>
      <c r="X57" s="21"/>
      <c r="Y57" s="21"/>
      <c r="Z57" s="21"/>
      <c r="AA57" s="21"/>
      <c r="AB57" s="21"/>
    </row>
    <row r="58" spans="2:28" ht="18.25" customHeight="1" x14ac:dyDescent="0.35">
      <c r="B58" s="45"/>
      <c r="C58" s="53"/>
      <c r="D58" s="53"/>
      <c r="E58" s="53"/>
      <c r="F58" s="53"/>
      <c r="G58" s="53"/>
      <c r="H58" s="53"/>
      <c r="I58" s="53"/>
      <c r="J58" s="53"/>
      <c r="K58" s="263" t="str">
        <f>Biodata!$C$16</f>
        <v>كياهى الحاج شهاب المعي الماجستير</v>
      </c>
      <c r="L58" s="263"/>
      <c r="M58" s="263"/>
      <c r="N58" s="263"/>
      <c r="O58" s="263"/>
      <c r="P58" s="53"/>
      <c r="Q58" s="53"/>
      <c r="R58" s="53"/>
      <c r="S58" s="21"/>
      <c r="T58" s="21"/>
      <c r="U58" s="21"/>
      <c r="V58" s="21"/>
      <c r="W58" s="21"/>
      <c r="X58" s="21"/>
      <c r="Y58" s="21"/>
      <c r="Z58" s="21"/>
      <c r="AA58" s="21"/>
      <c r="AB58" s="21"/>
    </row>
    <row r="59" spans="2:28" ht="18.25" hidden="1" customHeight="1" x14ac:dyDescent="0.35">
      <c r="B59" s="54"/>
      <c r="C59" s="54"/>
      <c r="D59" s="54"/>
      <c r="E59" s="54"/>
      <c r="F59" s="54"/>
      <c r="G59" s="54"/>
      <c r="H59" s="54"/>
      <c r="I59" s="54"/>
      <c r="J59" s="54"/>
      <c r="L59" s="54"/>
      <c r="M59" s="54"/>
      <c r="N59" s="54"/>
      <c r="O59" s="54"/>
      <c r="P59" s="54"/>
      <c r="Q59" s="54"/>
      <c r="R59" s="54"/>
      <c r="S59" s="21"/>
      <c r="T59" s="21"/>
      <c r="U59" s="21"/>
      <c r="V59" s="21"/>
      <c r="W59" s="21"/>
      <c r="X59" s="21"/>
      <c r="Y59" s="21"/>
      <c r="Z59" s="21"/>
      <c r="AA59" s="21"/>
      <c r="AB59" s="21"/>
    </row>
    <row r="60" spans="2:28" ht="15.5" hidden="1" x14ac:dyDescent="0.35">
      <c r="B60" s="29"/>
      <c r="C60" s="29"/>
      <c r="D60" s="29"/>
      <c r="E60" s="29"/>
      <c r="F60" s="29"/>
      <c r="G60" s="29"/>
      <c r="H60" s="29"/>
      <c r="I60" s="29"/>
      <c r="J60" s="29"/>
      <c r="K60" s="29"/>
      <c r="L60" s="30"/>
      <c r="M60" s="29"/>
      <c r="N60" s="31"/>
      <c r="O60" s="29"/>
      <c r="P60" s="29"/>
      <c r="Q60" s="29"/>
      <c r="R60" s="29"/>
      <c r="S60" s="21"/>
      <c r="T60" s="21"/>
      <c r="U60" s="21"/>
      <c r="V60" s="21"/>
      <c r="W60" s="21"/>
      <c r="X60" s="21"/>
      <c r="Y60" s="21"/>
      <c r="Z60" s="21"/>
      <c r="AA60" s="21"/>
      <c r="AB60" s="21"/>
    </row>
    <row r="61" spans="2:28" hidden="1" x14ac:dyDescent="0.35">
      <c r="B61" s="21"/>
      <c r="C61" s="21"/>
      <c r="D61" s="21"/>
      <c r="E61" s="21"/>
      <c r="F61" s="21"/>
      <c r="G61" s="21"/>
      <c r="H61" s="21"/>
      <c r="I61" s="21"/>
      <c r="J61" s="21"/>
      <c r="K61" s="21"/>
      <c r="L61" s="28"/>
      <c r="M61" s="21"/>
      <c r="N61" s="23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1"/>
      <c r="AB61" s="21"/>
    </row>
  </sheetData>
  <sheetProtection algorithmName="SHA-512" hashValue="6vckxp1T8QpOxqoprztwPTkSCD0+Y1eZtPiX3b4dOW+ggG6eFruCPxa7W+Pmy95pEmdjUynvoCNDLwxEbY6jhg==" saltValue="icrgy+hO59veheHq0pIohA==" spinCount="100000" sheet="1" selectLockedCells="1"/>
  <mergeCells count="146">
    <mergeCell ref="B1:L2"/>
    <mergeCell ref="B3:C3"/>
    <mergeCell ref="D3:J4"/>
    <mergeCell ref="K3:K4"/>
    <mergeCell ref="G26:K26"/>
    <mergeCell ref="G25:K25"/>
    <mergeCell ref="C33:F33"/>
    <mergeCell ref="G31:K31"/>
    <mergeCell ref="G32:K32"/>
    <mergeCell ref="G33:K33"/>
    <mergeCell ref="C27:F27"/>
    <mergeCell ref="G27:K27"/>
    <mergeCell ref="C19:F19"/>
    <mergeCell ref="C20:F20"/>
    <mergeCell ref="C24:F24"/>
    <mergeCell ref="C25:F25"/>
    <mergeCell ref="B22:L22"/>
    <mergeCell ref="G19:K19"/>
    <mergeCell ref="K58:O58"/>
    <mergeCell ref="G21:K21"/>
    <mergeCell ref="B16:L16"/>
    <mergeCell ref="B9:L9"/>
    <mergeCell ref="O53:Q53"/>
    <mergeCell ref="B53:K53"/>
    <mergeCell ref="O56:Q56"/>
    <mergeCell ref="C10:F10"/>
    <mergeCell ref="G11:J11"/>
    <mergeCell ref="C21:F21"/>
    <mergeCell ref="C18:F18"/>
    <mergeCell ref="C17:F17"/>
    <mergeCell ref="B48:J48"/>
    <mergeCell ref="P17:Q17"/>
    <mergeCell ref="P15:Q15"/>
    <mergeCell ref="P14:Q14"/>
    <mergeCell ref="P20:Q20"/>
    <mergeCell ref="P19:Q19"/>
    <mergeCell ref="P25:Q25"/>
    <mergeCell ref="P24:Q24"/>
    <mergeCell ref="P28:Q28"/>
    <mergeCell ref="M48:O48"/>
    <mergeCell ref="G18:K18"/>
    <mergeCell ref="C14:F14"/>
    <mergeCell ref="Z48:AB48"/>
    <mergeCell ref="B42:C42"/>
    <mergeCell ref="C31:F31"/>
    <mergeCell ref="C32:F32"/>
    <mergeCell ref="B41:C41"/>
    <mergeCell ref="P26:Q26"/>
    <mergeCell ref="P27:Q27"/>
    <mergeCell ref="C28:F28"/>
    <mergeCell ref="C26:F26"/>
    <mergeCell ref="P40:Q40"/>
    <mergeCell ref="B36:K36"/>
    <mergeCell ref="P47:Q47"/>
    <mergeCell ref="P46:Q46"/>
    <mergeCell ref="B34:J34"/>
    <mergeCell ref="K34:L34"/>
    <mergeCell ref="B38:C38"/>
    <mergeCell ref="D41:J41"/>
    <mergeCell ref="B46:K47"/>
    <mergeCell ref="B45:K45"/>
    <mergeCell ref="D38:J38"/>
    <mergeCell ref="B35:K35"/>
    <mergeCell ref="P41:Q41"/>
    <mergeCell ref="P37:Q37"/>
    <mergeCell ref="D42:K42"/>
    <mergeCell ref="P36:Q36"/>
    <mergeCell ref="P42:Q42"/>
    <mergeCell ref="V45:X45"/>
    <mergeCell ref="G28:K28"/>
    <mergeCell ref="B29:L29"/>
    <mergeCell ref="C30:F30"/>
    <mergeCell ref="G30:K30"/>
    <mergeCell ref="P31:Q31"/>
    <mergeCell ref="P32:Q32"/>
    <mergeCell ref="P29:Q29"/>
    <mergeCell ref="P30:Q30"/>
    <mergeCell ref="P34:Q34"/>
    <mergeCell ref="P33:Q33"/>
    <mergeCell ref="M51:P51"/>
    <mergeCell ref="P48:R48"/>
    <mergeCell ref="C50:E50"/>
    <mergeCell ref="F50:G50"/>
    <mergeCell ref="H50:K50"/>
    <mergeCell ref="M50:P50"/>
    <mergeCell ref="Q50:R51"/>
    <mergeCell ref="C51:E51"/>
    <mergeCell ref="F51:G51"/>
    <mergeCell ref="H51:K51"/>
    <mergeCell ref="L35:L48"/>
    <mergeCell ref="B37:C37"/>
    <mergeCell ref="D37:J37"/>
    <mergeCell ref="B39:K39"/>
    <mergeCell ref="B40:C40"/>
    <mergeCell ref="D40:J40"/>
    <mergeCell ref="P39:Q39"/>
    <mergeCell ref="P35:Q35"/>
    <mergeCell ref="P38:Q38"/>
    <mergeCell ref="K43:K44"/>
    <mergeCell ref="D43:J44"/>
    <mergeCell ref="B43:C44"/>
    <mergeCell ref="P45:Q45"/>
    <mergeCell ref="P44:Q44"/>
    <mergeCell ref="P12:Q12"/>
    <mergeCell ref="C13:F13"/>
    <mergeCell ref="G13:J13"/>
    <mergeCell ref="P13:Q13"/>
    <mergeCell ref="G24:K24"/>
    <mergeCell ref="C23:F23"/>
    <mergeCell ref="G23:K23"/>
    <mergeCell ref="G17:K17"/>
    <mergeCell ref="G20:K20"/>
    <mergeCell ref="P18:Q18"/>
    <mergeCell ref="P16:Q16"/>
    <mergeCell ref="P23:Q23"/>
    <mergeCell ref="P22:Q22"/>
    <mergeCell ref="P21:Q21"/>
    <mergeCell ref="G14:J14"/>
    <mergeCell ref="C15:F15"/>
    <mergeCell ref="G15:J15"/>
    <mergeCell ref="C12:F12"/>
    <mergeCell ref="G12:J12"/>
    <mergeCell ref="M3:N4"/>
    <mergeCell ref="O3:Q4"/>
    <mergeCell ref="R3:R4"/>
    <mergeCell ref="B4:C4"/>
    <mergeCell ref="U10:U11"/>
    <mergeCell ref="U12:U13"/>
    <mergeCell ref="V10:V11"/>
    <mergeCell ref="V12:V13"/>
    <mergeCell ref="K54:O54"/>
    <mergeCell ref="B6:K6"/>
    <mergeCell ref="L6:L8"/>
    <mergeCell ref="M6:Q6"/>
    <mergeCell ref="C11:F11"/>
    <mergeCell ref="P11:Q11"/>
    <mergeCell ref="P10:Q10"/>
    <mergeCell ref="P9:Q9"/>
    <mergeCell ref="G10:K10"/>
    <mergeCell ref="R6:R8"/>
    <mergeCell ref="B7:F7"/>
    <mergeCell ref="G7:K8"/>
    <mergeCell ref="M7:N7"/>
    <mergeCell ref="O7:Q8"/>
    <mergeCell ref="C8:F8"/>
    <mergeCell ref="P43:Q43"/>
  </mergeCells>
  <pageMargins left="7.95717592592593E-2" right="4.3402777777777797E-2" top="4.9019607843137254E-2" bottom="0.13071895424836602" header="0.3" footer="0.3"/>
  <pageSetup paperSize="14" orientation="portrait" horizontalDpi="4294967293" r:id="rId1"/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5" name="Spinner 3">
              <controlPr defaultSize="0" autoPict="0">
                <anchor moveWithCells="1" sizeWithCells="1">
                  <from>
                    <xdr:col>21</xdr:col>
                    <xdr:colOff>31750</xdr:colOff>
                    <xdr:row>6</xdr:row>
                    <xdr:rowOff>0</xdr:rowOff>
                  </from>
                  <to>
                    <xdr:col>21</xdr:col>
                    <xdr:colOff>603250</xdr:colOff>
                    <xdr:row>7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6" name="Drop Down 8">
              <controlPr defaultSize="0" autoLine="0" autoPict="0">
                <anchor moveWithCells="1">
                  <from>
                    <xdr:col>22</xdr:col>
                    <xdr:colOff>50800</xdr:colOff>
                    <xdr:row>6</xdr:row>
                    <xdr:rowOff>12700</xdr:rowOff>
                  </from>
                  <to>
                    <xdr:col>24</xdr:col>
                    <xdr:colOff>146050</xdr:colOff>
                    <xdr:row>7</xdr:row>
                    <xdr:rowOff>88900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7" name="Drop Down 9">
              <controlPr defaultSize="0" autoLine="0" autoPict="0">
                <anchor moveWithCells="1">
                  <from>
                    <xdr:col>22</xdr:col>
                    <xdr:colOff>76200</xdr:colOff>
                    <xdr:row>9</xdr:row>
                    <xdr:rowOff>12700</xdr:rowOff>
                  </from>
                  <to>
                    <xdr:col>24</xdr:col>
                    <xdr:colOff>165100</xdr:colOff>
                    <xdr:row>10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8" name="Drop Down 15">
              <controlPr defaultSize="0" autoLine="0" autoPict="0">
                <anchor moveWithCells="1">
                  <from>
                    <xdr:col>22</xdr:col>
                    <xdr:colOff>76200</xdr:colOff>
                    <xdr:row>11</xdr:row>
                    <xdr:rowOff>50800</xdr:rowOff>
                  </from>
                  <to>
                    <xdr:col>24</xdr:col>
                    <xdr:colOff>165100</xdr:colOff>
                    <xdr:row>13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9" name="Button 16">
              <controlPr defaultSize="0" print="0" autoFill="0" autoPict="0" macro="[0]!Button16_Click">
                <anchor moveWithCells="1" sizeWithCells="1">
                  <from>
                    <xdr:col>20</xdr:col>
                    <xdr:colOff>31750</xdr:colOff>
                    <xdr:row>14</xdr:row>
                    <xdr:rowOff>12700</xdr:rowOff>
                  </from>
                  <to>
                    <xdr:col>21</xdr:col>
                    <xdr:colOff>584200</xdr:colOff>
                    <xdr:row>16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10" name="Button 18">
              <controlPr defaultSize="0" print="0" autoFill="0" autoPict="0" macro="[0]!Button18_Click">
                <anchor moveWithCells="1" sizeWithCells="1">
                  <from>
                    <xdr:col>22</xdr:col>
                    <xdr:colOff>812800</xdr:colOff>
                    <xdr:row>14</xdr:row>
                    <xdr:rowOff>12700</xdr:rowOff>
                  </from>
                  <to>
                    <xdr:col>24</xdr:col>
                    <xdr:colOff>152400</xdr:colOff>
                    <xdr:row>16</xdr:row>
                    <xdr:rowOff>12700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107FC2-4A67-485D-ABF2-C433B07F70C5}">
  <sheetPr codeName="Lembar1"/>
  <dimension ref="A1:G51"/>
  <sheetViews>
    <sheetView tabSelected="1" view="pageLayout" topLeftCell="A5" zoomScaleNormal="100" workbookViewId="0">
      <selection activeCell="F6" sqref="F6:F45"/>
    </sheetView>
  </sheetViews>
  <sheetFormatPr defaultRowHeight="14.5" x14ac:dyDescent="0.35"/>
  <cols>
    <col min="1" max="1" width="5.26953125" customWidth="1"/>
    <col min="2" max="2" width="30.54296875" style="108" customWidth="1"/>
    <col min="4" max="4" width="11.26953125" bestFit="1" customWidth="1"/>
    <col min="5" max="5" width="13.81640625" style="5" bestFit="1" customWidth="1"/>
    <col min="6" max="6" width="9.1796875" style="5" bestFit="1" customWidth="1"/>
    <col min="7" max="7" width="10.7265625" bestFit="1" customWidth="1"/>
  </cols>
  <sheetData>
    <row r="1" spans="1:7" ht="17.5" x14ac:dyDescent="0.35">
      <c r="A1" s="282" t="s">
        <v>172</v>
      </c>
      <c r="B1" s="282"/>
      <c r="C1" s="282"/>
      <c r="D1" s="282"/>
      <c r="E1" s="282"/>
      <c r="F1" s="282"/>
      <c r="G1" s="282"/>
    </row>
    <row r="2" spans="1:7" ht="6" customHeight="1" x14ac:dyDescent="0.35">
      <c r="A2" s="106"/>
      <c r="B2" s="113"/>
      <c r="C2" s="106"/>
      <c r="D2" s="106"/>
      <c r="E2" s="106"/>
      <c r="F2" s="106"/>
      <c r="G2" s="106"/>
    </row>
    <row r="3" spans="1:7" ht="17.5" x14ac:dyDescent="0.35">
      <c r="A3" s="283" t="str">
        <f>Biodata!C4</f>
        <v>السادس د للبنين</v>
      </c>
      <c r="B3" s="283"/>
      <c r="C3" s="283"/>
      <c r="D3" s="283"/>
      <c r="E3" s="283"/>
      <c r="F3" s="283"/>
      <c r="G3" s="283"/>
    </row>
    <row r="5" spans="1:7" ht="22" customHeight="1" x14ac:dyDescent="0.35">
      <c r="A5" s="112" t="s">
        <v>76</v>
      </c>
      <c r="B5" s="112" t="s">
        <v>167</v>
      </c>
      <c r="C5" s="112" t="s">
        <v>54</v>
      </c>
      <c r="D5" s="112" t="s">
        <v>78</v>
      </c>
      <c r="E5" s="112" t="s">
        <v>170</v>
      </c>
      <c r="F5" s="112" t="s">
        <v>171</v>
      </c>
      <c r="G5" s="112" t="s">
        <v>169</v>
      </c>
    </row>
    <row r="6" spans="1:7" ht="18" customHeight="1" x14ac:dyDescent="0.35">
      <c r="A6" s="7">
        <v>1</v>
      </c>
      <c r="B6" s="111" t="str">
        <f>'Data Siswa'!B21</f>
        <v>MUHAMMAD VIKRI ABDILLAH</v>
      </c>
      <c r="C6" s="7" t="str">
        <f>'Data Siswa'!C21</f>
        <v>0598</v>
      </c>
      <c r="D6" s="9">
        <f>'Nilai Syafahi'!X23</f>
        <v>282.29999999999995</v>
      </c>
      <c r="E6" s="8">
        <f>'Nilai Syafahi'!Y23</f>
        <v>5.8812500000000005</v>
      </c>
      <c r="F6" s="6">
        <f ca="1">'Nilai Syafahi'!Z23</f>
        <v>1</v>
      </c>
      <c r="G6" s="6" t="str">
        <f>'Nilai Syafahi'!AA23</f>
        <v>-</v>
      </c>
    </row>
    <row r="7" spans="1:7" ht="18" customHeight="1" x14ac:dyDescent="0.35">
      <c r="A7" s="7">
        <v>2</v>
      </c>
      <c r="B7" s="111" t="str">
        <f>'Data Siswa'!B25</f>
        <v>ZAKWAN ADIB</v>
      </c>
      <c r="C7" s="7" t="str">
        <f>'Data Siswa'!C25</f>
        <v>0602</v>
      </c>
      <c r="D7" s="9">
        <f>'Nilai Syafahi'!X27</f>
        <v>276.10000000000002</v>
      </c>
      <c r="E7" s="8">
        <f>'Nilai Syafahi'!Y27</f>
        <v>5.7520833333333323</v>
      </c>
      <c r="F7" s="6">
        <f ca="1">'Nilai Syafahi'!Z27</f>
        <v>2</v>
      </c>
      <c r="G7" s="6" t="str">
        <f>'Nilai Syafahi'!AA27</f>
        <v>-</v>
      </c>
    </row>
    <row r="8" spans="1:7" ht="18" customHeight="1" x14ac:dyDescent="0.35">
      <c r="A8" s="7">
        <v>3</v>
      </c>
      <c r="B8" s="111" t="str">
        <f>'Data Siswa'!B12</f>
        <v>M. FAREL FAUZA ADITYA</v>
      </c>
      <c r="C8" s="7" t="str">
        <f>'Data Siswa'!C12</f>
        <v>0589</v>
      </c>
      <c r="D8" s="9">
        <f>'Nilai Syafahi'!X14</f>
        <v>272.3</v>
      </c>
      <c r="E8" s="8">
        <f>'Nilai Syafahi'!Y14</f>
        <v>5.6729166666666666</v>
      </c>
      <c r="F8" s="6">
        <f ca="1">'Nilai Syafahi'!Z14</f>
        <v>3</v>
      </c>
      <c r="G8" s="6" t="str">
        <f>'Nilai Syafahi'!AA14</f>
        <v>-</v>
      </c>
    </row>
    <row r="9" spans="1:7" ht="18" customHeight="1" x14ac:dyDescent="0.35">
      <c r="A9" s="7">
        <v>4</v>
      </c>
      <c r="B9" s="111" t="str">
        <f>'Data Siswa'!B23</f>
        <v>NURHIDAYAT</v>
      </c>
      <c r="C9" s="7" t="str">
        <f>'Data Siswa'!C23</f>
        <v>0600</v>
      </c>
      <c r="D9" s="9">
        <f>'Nilai Syafahi'!X25</f>
        <v>271.5</v>
      </c>
      <c r="E9" s="8">
        <f>'Nilai Syafahi'!Y25</f>
        <v>5.65625</v>
      </c>
      <c r="F9" s="6">
        <f ca="1">'Nilai Syafahi'!Z25</f>
        <v>4</v>
      </c>
      <c r="G9" s="6" t="str">
        <f>'Nilai Syafahi'!AA25</f>
        <v>-</v>
      </c>
    </row>
    <row r="10" spans="1:7" ht="18" customHeight="1" x14ac:dyDescent="0.35">
      <c r="A10" s="7">
        <v>5</v>
      </c>
      <c r="B10" s="111" t="str">
        <f>'Data Siswa'!B16</f>
        <v>MUHAMAD WILDAN WIBISONO</v>
      </c>
      <c r="C10" s="7" t="str">
        <f>'Data Siswa'!C16</f>
        <v>0593</v>
      </c>
      <c r="D10" s="9">
        <f>'Nilai Syafahi'!X18</f>
        <v>268.89999999999998</v>
      </c>
      <c r="E10" s="8">
        <f>'Nilai Syafahi'!Y18</f>
        <v>5.6020833333333329</v>
      </c>
      <c r="F10" s="6">
        <f ca="1">'Nilai Syafahi'!Z18</f>
        <v>5</v>
      </c>
      <c r="G10" s="6" t="str">
        <f>'Nilai Syafahi'!AA18</f>
        <v>-</v>
      </c>
    </row>
    <row r="11" spans="1:7" ht="18" customHeight="1" x14ac:dyDescent="0.35">
      <c r="A11" s="7">
        <v>6</v>
      </c>
      <c r="B11" s="111" t="str">
        <f>'Data Siswa'!B17</f>
        <v>MUHAMMAD AGIL LAHAM</v>
      </c>
      <c r="C11" s="7" t="str">
        <f>'Data Siswa'!C17</f>
        <v>0594</v>
      </c>
      <c r="D11" s="9">
        <f>'Nilai Syafahi'!X19</f>
        <v>267.20000000000005</v>
      </c>
      <c r="E11" s="8">
        <f>'Nilai Syafahi'!Y19</f>
        <v>5.5666666666666673</v>
      </c>
      <c r="F11" s="6">
        <f ca="1">'Nilai Syafahi'!Z19</f>
        <v>6</v>
      </c>
      <c r="G11" s="6" t="str">
        <f>'Nilai Syafahi'!AA19</f>
        <v>-</v>
      </c>
    </row>
    <row r="12" spans="1:7" ht="18" customHeight="1" x14ac:dyDescent="0.35">
      <c r="A12" s="7">
        <v>7</v>
      </c>
      <c r="B12" s="111" t="str">
        <f>'Data Siswa'!B19</f>
        <v>MUHAMMAD RIFKI ADI NUGROHO</v>
      </c>
      <c r="C12" s="7" t="str">
        <f>'Data Siswa'!C19</f>
        <v>0596</v>
      </c>
      <c r="D12" s="9">
        <f>'Nilai Syafahi'!X21</f>
        <v>266.3</v>
      </c>
      <c r="E12" s="8">
        <f>'Nilai Syafahi'!Y21</f>
        <v>5.5479166666666666</v>
      </c>
      <c r="F12" s="6">
        <f ca="1">'Nilai Syafahi'!Z21</f>
        <v>7</v>
      </c>
      <c r="G12" s="6" t="str">
        <f>'Nilai Syafahi'!AA21</f>
        <v>-</v>
      </c>
    </row>
    <row r="13" spans="1:7" ht="18" customHeight="1" x14ac:dyDescent="0.35">
      <c r="A13" s="7">
        <v>8</v>
      </c>
      <c r="B13" s="111" t="str">
        <f>'Data Siswa'!B2</f>
        <v>ABDUL ALLAN DARMA SAPUTRA</v>
      </c>
      <c r="C13" s="7" t="str">
        <f>'Data Siswa'!C2</f>
        <v>0579</v>
      </c>
      <c r="D13" s="9">
        <f>'Nilai Syafahi'!X4</f>
        <v>263.20000000000005</v>
      </c>
      <c r="E13" s="8">
        <f>'Nilai Syafahi'!Y4</f>
        <v>5.4833333333333343</v>
      </c>
      <c r="F13" s="6">
        <f ca="1">'Nilai Syafahi'!Z4</f>
        <v>8</v>
      </c>
      <c r="G13" s="6" t="str">
        <f>'Nilai Syafahi'!AA4</f>
        <v>-</v>
      </c>
    </row>
    <row r="14" spans="1:7" ht="18" customHeight="1" x14ac:dyDescent="0.35">
      <c r="A14" s="7">
        <v>9</v>
      </c>
      <c r="B14" s="111" t="str">
        <f>'Data Siswa'!B8</f>
        <v>FAUZAN IQBAL MAULANA</v>
      </c>
      <c r="C14" s="7" t="str">
        <f>'Data Siswa'!C8</f>
        <v>0585</v>
      </c>
      <c r="D14" s="9">
        <f>'Nilai Syafahi'!X10</f>
        <v>259.39999999999998</v>
      </c>
      <c r="E14" s="8">
        <f>'Nilai Syafahi'!Y10</f>
        <v>5.4041666666666659</v>
      </c>
      <c r="F14" s="6">
        <f ca="1">'Nilai Syafahi'!Z10</f>
        <v>9</v>
      </c>
      <c r="G14" s="6" t="str">
        <f>'Nilai Syafahi'!AA10</f>
        <v>-</v>
      </c>
    </row>
    <row r="15" spans="1:7" ht="18" customHeight="1" x14ac:dyDescent="0.35">
      <c r="A15" s="7">
        <v>10</v>
      </c>
      <c r="B15" s="111" t="str">
        <f>'Data Siswa'!B20</f>
        <v>MUHAMMAD SULAMUT TAUFIQ</v>
      </c>
      <c r="C15" s="7" t="str">
        <f>'Data Siswa'!C20</f>
        <v>0597</v>
      </c>
      <c r="D15" s="9">
        <f>'Nilai Syafahi'!X22</f>
        <v>258.70000000000005</v>
      </c>
      <c r="E15" s="8">
        <f>'Nilai Syafahi'!Y22</f>
        <v>5.3895833333333343</v>
      </c>
      <c r="F15" s="6">
        <f ca="1">'Nilai Syafahi'!Z22</f>
        <v>10</v>
      </c>
      <c r="G15" s="6" t="str">
        <f>'Nilai Syafahi'!AA22</f>
        <v>-</v>
      </c>
    </row>
    <row r="16" spans="1:7" ht="18" customHeight="1" x14ac:dyDescent="0.35">
      <c r="A16" s="7">
        <v>11</v>
      </c>
      <c r="B16" s="111" t="str">
        <f>'Data Siswa'!B18</f>
        <v>MUHAMMAD ASSRORI</v>
      </c>
      <c r="C16" s="7" t="str">
        <f>'Data Siswa'!C18</f>
        <v>0595</v>
      </c>
      <c r="D16" s="9">
        <f>'Nilai Syafahi'!X20</f>
        <v>258</v>
      </c>
      <c r="E16" s="8">
        <f>'Nilai Syafahi'!Y20</f>
        <v>5.375</v>
      </c>
      <c r="F16" s="6">
        <f ca="1">'Nilai Syafahi'!Z20</f>
        <v>11</v>
      </c>
      <c r="G16" s="6" t="str">
        <f>'Nilai Syafahi'!AA20</f>
        <v>-</v>
      </c>
    </row>
    <row r="17" spans="1:7" ht="18" customHeight="1" x14ac:dyDescent="0.35">
      <c r="A17" s="7">
        <v>12</v>
      </c>
      <c r="B17" s="111" t="str">
        <f>'Data Siswa'!B10</f>
        <v>HILDAN FAUZI</v>
      </c>
      <c r="C17" s="7" t="str">
        <f>'Data Siswa'!C10</f>
        <v>0587</v>
      </c>
      <c r="D17" s="9">
        <f>'Nilai Syafahi'!X12</f>
        <v>253.6</v>
      </c>
      <c r="E17" s="8">
        <f>'Nilai Syafahi'!Y12</f>
        <v>5.2833333333333332</v>
      </c>
      <c r="F17" s="6">
        <f ca="1">'Nilai Syafahi'!Z12</f>
        <v>12</v>
      </c>
      <c r="G17" s="6" t="str">
        <f>'Nilai Syafahi'!AA12</f>
        <v>-</v>
      </c>
    </row>
    <row r="18" spans="1:7" ht="18" customHeight="1" x14ac:dyDescent="0.35">
      <c r="A18" s="7">
        <v>13</v>
      </c>
      <c r="B18" s="111" t="str">
        <f>'Data Siswa'!B14</f>
        <v>MUHAMAD RIZKI</v>
      </c>
      <c r="C18" s="7" t="str">
        <f>'Data Siswa'!C14</f>
        <v>0591</v>
      </c>
      <c r="D18" s="9">
        <f>'Nilai Syafahi'!X16</f>
        <v>251.4</v>
      </c>
      <c r="E18" s="8">
        <f>'Nilai Syafahi'!Y16</f>
        <v>5.2374999999999998</v>
      </c>
      <c r="F18" s="6">
        <f ca="1">'Nilai Syafahi'!Z16</f>
        <v>13</v>
      </c>
      <c r="G18" s="6" t="str">
        <f>'Nilai Syafahi'!AA16</f>
        <v>-</v>
      </c>
    </row>
    <row r="19" spans="1:7" ht="18" customHeight="1" x14ac:dyDescent="0.35">
      <c r="A19" s="7">
        <v>14</v>
      </c>
      <c r="B19" s="111" t="str">
        <f>'Data Siswa'!B13</f>
        <v>MUHAMAD RAIFAN SIDIQ</v>
      </c>
      <c r="C19" s="7" t="str">
        <f>'Data Siswa'!C13</f>
        <v>0590</v>
      </c>
      <c r="D19" s="9">
        <f>'Nilai Syafahi'!X15</f>
        <v>247.6</v>
      </c>
      <c r="E19" s="8">
        <f>'Nilai Syafahi'!Y15</f>
        <v>5.1583333333333332</v>
      </c>
      <c r="F19" s="6">
        <f ca="1">'Nilai Syafahi'!Z15</f>
        <v>14</v>
      </c>
      <c r="G19" s="6" t="str">
        <f>'Nilai Syafahi'!AA15</f>
        <v>-</v>
      </c>
    </row>
    <row r="20" spans="1:7" ht="18" customHeight="1" x14ac:dyDescent="0.35">
      <c r="A20" s="7">
        <v>15</v>
      </c>
      <c r="B20" s="111" t="str">
        <f>'Data Siswa'!B7</f>
        <v>FARES CHAIDAR HAMZAN</v>
      </c>
      <c r="C20" s="7" t="str">
        <f>'Data Siswa'!C7</f>
        <v>0584</v>
      </c>
      <c r="D20" s="9">
        <f>'Nilai Syafahi'!X9</f>
        <v>246.2</v>
      </c>
      <c r="E20" s="8">
        <f>'Nilai Syafahi'!Y9</f>
        <v>5.1291666666666664</v>
      </c>
      <c r="F20" s="6">
        <f ca="1">'Nilai Syafahi'!Z9</f>
        <v>15</v>
      </c>
      <c r="G20" s="6" t="str">
        <f>'Nilai Syafahi'!AA9</f>
        <v>-</v>
      </c>
    </row>
    <row r="21" spans="1:7" ht="18" customHeight="1" x14ac:dyDescent="0.35">
      <c r="A21" s="7">
        <v>16</v>
      </c>
      <c r="B21" s="111" t="str">
        <f>'Data Siswa'!B15</f>
        <v>MUHAMAD SYAHRUL BUDIMAN</v>
      </c>
      <c r="C21" s="7" t="str">
        <f>'Data Siswa'!C15</f>
        <v>0592</v>
      </c>
      <c r="D21" s="9">
        <f>'Nilai Syafahi'!X17</f>
        <v>245.1</v>
      </c>
      <c r="E21" s="8">
        <f>'Nilai Syafahi'!Y17</f>
        <v>5.1062500000000002</v>
      </c>
      <c r="F21" s="6">
        <f ca="1">'Nilai Syafahi'!Z17</f>
        <v>16</v>
      </c>
      <c r="G21" s="6" t="str">
        <f>'Nilai Syafahi'!AA17</f>
        <v>-</v>
      </c>
    </row>
    <row r="22" spans="1:7" ht="18" customHeight="1" x14ac:dyDescent="0.35">
      <c r="A22" s="7">
        <v>17</v>
      </c>
      <c r="B22" s="111" t="str">
        <f>'Data Siswa'!B5</f>
        <v>AJUN</v>
      </c>
      <c r="C22" s="7" t="str">
        <f>'Data Siswa'!C5</f>
        <v>0582</v>
      </c>
      <c r="D22" s="9">
        <f>'Nilai Syafahi'!X7</f>
        <v>244.3</v>
      </c>
      <c r="E22" s="8">
        <f>'Nilai Syafahi'!Y7</f>
        <v>5.0895833333333336</v>
      </c>
      <c r="F22" s="6">
        <f ca="1">'Nilai Syafahi'!Z7</f>
        <v>17</v>
      </c>
      <c r="G22" s="6" t="str">
        <f>'Nilai Syafahi'!AA7</f>
        <v>-</v>
      </c>
    </row>
    <row r="23" spans="1:7" ht="18" customHeight="1" x14ac:dyDescent="0.35">
      <c r="A23" s="7">
        <v>18</v>
      </c>
      <c r="B23" s="111" t="str">
        <f>'Data Siswa'!B24</f>
        <v>RAYHAN HIKMAT CHANDRA</v>
      </c>
      <c r="C23" s="7" t="str">
        <f>'Data Siswa'!C24</f>
        <v>0601</v>
      </c>
      <c r="D23" s="9">
        <f>'Nilai Syafahi'!X26</f>
        <v>243.5</v>
      </c>
      <c r="E23" s="8">
        <f>'Nilai Syafahi'!Y26</f>
        <v>5.072916666666667</v>
      </c>
      <c r="F23" s="6">
        <f ca="1">'Nilai Syafahi'!Z26</f>
        <v>18</v>
      </c>
      <c r="G23" s="6" t="str">
        <f>'Nilai Syafahi'!AA26</f>
        <v>-</v>
      </c>
    </row>
    <row r="24" spans="1:7" ht="18" customHeight="1" x14ac:dyDescent="0.35">
      <c r="A24" s="7">
        <v>19</v>
      </c>
      <c r="B24" s="111" t="str">
        <f>'Data Siswa'!B22</f>
        <v>NOVAL DZAKI</v>
      </c>
      <c r="C24" s="7" t="str">
        <f>'Data Siswa'!C22</f>
        <v>0599</v>
      </c>
      <c r="D24" s="9">
        <f>'Nilai Syafahi'!X24</f>
        <v>242.2</v>
      </c>
      <c r="E24" s="8">
        <f>'Nilai Syafahi'!Y24</f>
        <v>5.0458333333333334</v>
      </c>
      <c r="F24" s="6">
        <f ca="1">'Nilai Syafahi'!Z24</f>
        <v>19</v>
      </c>
      <c r="G24" s="6" t="str">
        <f>'Nilai Syafahi'!AA24</f>
        <v>-</v>
      </c>
    </row>
    <row r="25" spans="1:7" ht="18" customHeight="1" x14ac:dyDescent="0.35">
      <c r="A25" s="7">
        <v>20</v>
      </c>
      <c r="B25" s="111" t="str">
        <f>'Data Siswa'!B9</f>
        <v>HAFIEZD ARYANSYAH RAMADAN</v>
      </c>
      <c r="C25" s="7" t="str">
        <f>'Data Siswa'!C9</f>
        <v>0586</v>
      </c>
      <c r="D25" s="9">
        <f>'Nilai Syafahi'!X11</f>
        <v>240.5</v>
      </c>
      <c r="E25" s="8">
        <f>'Nilai Syafahi'!Y11</f>
        <v>5.010416666666667</v>
      </c>
      <c r="F25" s="6">
        <f ca="1">'Nilai Syafahi'!Z11</f>
        <v>20</v>
      </c>
      <c r="G25" s="6" t="str">
        <f>'Nilai Syafahi'!AA11</f>
        <v>-</v>
      </c>
    </row>
    <row r="26" spans="1:7" ht="18" customHeight="1" x14ac:dyDescent="0.35">
      <c r="A26" s="7">
        <v>21</v>
      </c>
      <c r="B26" s="111" t="str">
        <f>'Data Siswa'!B11</f>
        <v>JEFRI FAJAR ALFIAN</v>
      </c>
      <c r="C26" s="7" t="str">
        <f>'Data Siswa'!C11</f>
        <v>0588</v>
      </c>
      <c r="D26" s="9">
        <f>'Nilai Syafahi'!X13</f>
        <v>238.1</v>
      </c>
      <c r="E26" s="8">
        <f>'Nilai Syafahi'!Y13</f>
        <v>4.9604166666666663</v>
      </c>
      <c r="F26" s="6">
        <f ca="1">'Nilai Syafahi'!Z13</f>
        <v>21</v>
      </c>
      <c r="G26" s="6" t="str">
        <f>'Nilai Syafahi'!AA13</f>
        <v>-</v>
      </c>
    </row>
    <row r="27" spans="1:7" ht="18" customHeight="1" x14ac:dyDescent="0.35">
      <c r="A27" s="7">
        <v>22</v>
      </c>
      <c r="B27" s="111" t="str">
        <f>'Data Siswa'!B4</f>
        <v>AHMAD FAJAR MUNAWWAR KHOLILY</v>
      </c>
      <c r="C27" s="7" t="str">
        <f>'Data Siswa'!C4</f>
        <v>0581</v>
      </c>
      <c r="D27" s="9">
        <f>'Nilai Syafahi'!X6</f>
        <v>236.6</v>
      </c>
      <c r="E27" s="8">
        <f>'Nilai Syafahi'!Y6</f>
        <v>4.9291666666666663</v>
      </c>
      <c r="F27" s="6">
        <f ca="1">'Nilai Syafahi'!Z6</f>
        <v>22</v>
      </c>
      <c r="G27" s="6" t="str">
        <f>'Nilai Syafahi'!AA6</f>
        <v>-</v>
      </c>
    </row>
    <row r="28" spans="1:7" ht="18" customHeight="1" x14ac:dyDescent="0.35">
      <c r="A28" s="7">
        <v>23</v>
      </c>
      <c r="B28" s="111" t="str">
        <f>'Data Siswa'!B3</f>
        <v>ABDUL FATTAH</v>
      </c>
      <c r="C28" s="7" t="str">
        <f>'Data Siswa'!C3</f>
        <v>0580</v>
      </c>
      <c r="D28" s="9">
        <f>'Nilai Syafahi'!X5</f>
        <v>235.4</v>
      </c>
      <c r="E28" s="8">
        <f>'Nilai Syafahi'!Y5</f>
        <v>4.9041666666666668</v>
      </c>
      <c r="F28" s="6">
        <f ca="1">'Nilai Syafahi'!Z5</f>
        <v>23</v>
      </c>
      <c r="G28" s="6" t="str">
        <f>'Nilai Syafahi'!AA5</f>
        <v>-</v>
      </c>
    </row>
    <row r="29" spans="1:7" ht="18" customHeight="1" x14ac:dyDescent="0.35">
      <c r="A29" s="7">
        <v>24</v>
      </c>
      <c r="B29" s="111" t="str">
        <f>'Data Siswa'!B6</f>
        <v>DIMAS NURPUTRAWAN</v>
      </c>
      <c r="C29" s="7" t="str">
        <f>'Data Siswa'!C6</f>
        <v>0583</v>
      </c>
      <c r="D29" s="9">
        <f>'Nilai Syafahi'!X8</f>
        <v>234</v>
      </c>
      <c r="E29" s="8">
        <f>'Nilai Syafahi'!Y8</f>
        <v>4.875</v>
      </c>
      <c r="F29" s="6">
        <f ca="1">'Nilai Syafahi'!Z8</f>
        <v>24</v>
      </c>
      <c r="G29" s="6" t="str">
        <f>'Nilai Syafahi'!AA8</f>
        <v>-</v>
      </c>
    </row>
    <row r="30" spans="1:7" ht="18" customHeight="1" x14ac:dyDescent="0.35">
      <c r="A30" s="7">
        <v>25</v>
      </c>
      <c r="B30" s="111">
        <f>'Data Siswa'!B26</f>
        <v>0</v>
      </c>
      <c r="C30" s="7">
        <f>'Data Siswa'!C26</f>
        <v>0</v>
      </c>
      <c r="D30" s="9">
        <f>'Nilai Syafahi'!X28</f>
        <v>0</v>
      </c>
      <c r="E30" s="8" t="e">
        <f>'Nilai Syafahi'!Y28</f>
        <v>#DIV/0!</v>
      </c>
      <c r="F30" s="6">
        <f ca="1">'Nilai Syafahi'!Z28</f>
        <v>25</v>
      </c>
      <c r="G30" s="6" t="str">
        <f>'Nilai Syafahi'!AA28</f>
        <v>-</v>
      </c>
    </row>
    <row r="31" spans="1:7" ht="18" customHeight="1" x14ac:dyDescent="0.35">
      <c r="A31" s="7">
        <v>26</v>
      </c>
      <c r="B31" s="111">
        <f>'Data Siswa'!B27</f>
        <v>0</v>
      </c>
      <c r="C31" s="7">
        <f>'Data Siswa'!C27</f>
        <v>0</v>
      </c>
      <c r="D31" s="9">
        <f>'Nilai Syafahi'!X29</f>
        <v>0</v>
      </c>
      <c r="E31" s="8" t="e">
        <f>'Nilai Syafahi'!Y29</f>
        <v>#DIV/0!</v>
      </c>
      <c r="F31" s="6">
        <f ca="1">'Nilai Syafahi'!Z29</f>
        <v>25</v>
      </c>
      <c r="G31" s="6" t="str">
        <f>'Nilai Syafahi'!AA29</f>
        <v>-</v>
      </c>
    </row>
    <row r="32" spans="1:7" ht="18" customHeight="1" x14ac:dyDescent="0.35">
      <c r="A32" s="7">
        <v>27</v>
      </c>
      <c r="B32" s="111">
        <f>'Data Siswa'!B28</f>
        <v>0</v>
      </c>
      <c r="C32" s="7">
        <f>'Data Siswa'!C28</f>
        <v>0</v>
      </c>
      <c r="D32" s="9">
        <f>'Nilai Syafahi'!X30</f>
        <v>0</v>
      </c>
      <c r="E32" s="8" t="e">
        <f>'Nilai Syafahi'!Y30</f>
        <v>#DIV/0!</v>
      </c>
      <c r="F32" s="6">
        <f ca="1">'Nilai Syafahi'!Z30</f>
        <v>25</v>
      </c>
      <c r="G32" s="6" t="str">
        <f>'Nilai Syafahi'!AA30</f>
        <v>-</v>
      </c>
    </row>
    <row r="33" spans="1:7" ht="18" customHeight="1" x14ac:dyDescent="0.35">
      <c r="A33" s="7">
        <v>28</v>
      </c>
      <c r="B33" s="111">
        <f>'Data Siswa'!B29</f>
        <v>0</v>
      </c>
      <c r="C33" s="7">
        <f>'Data Siswa'!C29</f>
        <v>0</v>
      </c>
      <c r="D33" s="9">
        <f>'Nilai Syafahi'!X31</f>
        <v>0</v>
      </c>
      <c r="E33" s="8" t="e">
        <f>'Nilai Syafahi'!Y31</f>
        <v>#DIV/0!</v>
      </c>
      <c r="F33" s="6">
        <f ca="1">'Nilai Syafahi'!Z31</f>
        <v>25</v>
      </c>
      <c r="G33" s="6" t="str">
        <f>'Nilai Syafahi'!AA31</f>
        <v>-</v>
      </c>
    </row>
    <row r="34" spans="1:7" ht="18" customHeight="1" x14ac:dyDescent="0.35">
      <c r="A34" s="7">
        <v>29</v>
      </c>
      <c r="B34" s="111">
        <f>'Data Siswa'!B30</f>
        <v>0</v>
      </c>
      <c r="C34" s="7">
        <f>'Data Siswa'!C30</f>
        <v>0</v>
      </c>
      <c r="D34" s="9">
        <f>'Nilai Syafahi'!X32</f>
        <v>0</v>
      </c>
      <c r="E34" s="8" t="e">
        <f>'Nilai Syafahi'!Y32</f>
        <v>#DIV/0!</v>
      </c>
      <c r="F34" s="6">
        <f ca="1">'Nilai Syafahi'!Z32</f>
        <v>25</v>
      </c>
      <c r="G34" s="6" t="str">
        <f>'Nilai Syafahi'!AA32</f>
        <v>-</v>
      </c>
    </row>
    <row r="35" spans="1:7" ht="18" customHeight="1" x14ac:dyDescent="0.35">
      <c r="A35" s="7">
        <v>30</v>
      </c>
      <c r="B35" s="111">
        <f>'Data Siswa'!B31</f>
        <v>0</v>
      </c>
      <c r="C35" s="7">
        <f>'Data Siswa'!C31</f>
        <v>0</v>
      </c>
      <c r="D35" s="9">
        <f>'Nilai Syafahi'!X33</f>
        <v>0</v>
      </c>
      <c r="E35" s="8" t="e">
        <f>'Nilai Syafahi'!Y33</f>
        <v>#DIV/0!</v>
      </c>
      <c r="F35" s="6">
        <f ca="1">'Nilai Syafahi'!Z33</f>
        <v>25</v>
      </c>
      <c r="G35" s="6" t="str">
        <f>'Nilai Syafahi'!AA33</f>
        <v>-</v>
      </c>
    </row>
    <row r="36" spans="1:7" ht="18" customHeight="1" x14ac:dyDescent="0.35">
      <c r="A36" s="7">
        <v>31</v>
      </c>
      <c r="B36" s="111">
        <f>'Data Siswa'!B32</f>
        <v>0</v>
      </c>
      <c r="C36" s="7">
        <f>'Data Siswa'!C32</f>
        <v>0</v>
      </c>
      <c r="D36" s="9">
        <f>'Nilai Syafahi'!X34</f>
        <v>0</v>
      </c>
      <c r="E36" s="8" t="e">
        <f>'Nilai Syafahi'!Y34</f>
        <v>#DIV/0!</v>
      </c>
      <c r="F36" s="6">
        <f ca="1">'Nilai Syafahi'!Z34</f>
        <v>25</v>
      </c>
      <c r="G36" s="6" t="str">
        <f>'Nilai Syafahi'!AA34</f>
        <v>-</v>
      </c>
    </row>
    <row r="37" spans="1:7" ht="18" customHeight="1" x14ac:dyDescent="0.35">
      <c r="A37" s="7">
        <v>32</v>
      </c>
      <c r="B37" s="111">
        <f>'Data Siswa'!B33</f>
        <v>0</v>
      </c>
      <c r="C37" s="7">
        <f>'Data Siswa'!C33</f>
        <v>0</v>
      </c>
      <c r="D37" s="9">
        <f>'Nilai Syafahi'!X35</f>
        <v>0</v>
      </c>
      <c r="E37" s="8" t="e">
        <f>'Nilai Syafahi'!Y35</f>
        <v>#DIV/0!</v>
      </c>
      <c r="F37" s="6">
        <f ca="1">'Nilai Syafahi'!Z35</f>
        <v>25</v>
      </c>
      <c r="G37" s="6" t="str">
        <f>'Nilai Syafahi'!AA35</f>
        <v>-</v>
      </c>
    </row>
    <row r="38" spans="1:7" ht="18" customHeight="1" x14ac:dyDescent="0.35">
      <c r="A38" s="7">
        <v>33</v>
      </c>
      <c r="B38" s="111">
        <f>'Data Siswa'!B34</f>
        <v>0</v>
      </c>
      <c r="C38" s="7">
        <f>'Data Siswa'!C34</f>
        <v>0</v>
      </c>
      <c r="D38" s="9">
        <f>'Nilai Syafahi'!X36</f>
        <v>0</v>
      </c>
      <c r="E38" s="8" t="e">
        <f>'Nilai Syafahi'!Y36</f>
        <v>#DIV/0!</v>
      </c>
      <c r="F38" s="6">
        <f ca="1">'Nilai Syafahi'!Z36</f>
        <v>25</v>
      </c>
      <c r="G38" s="6" t="str">
        <f>'Nilai Syafahi'!AA36</f>
        <v>-</v>
      </c>
    </row>
    <row r="39" spans="1:7" ht="18" customHeight="1" x14ac:dyDescent="0.35">
      <c r="A39" s="7">
        <v>34</v>
      </c>
      <c r="B39" s="111">
        <f>'Data Siswa'!B35</f>
        <v>0</v>
      </c>
      <c r="C39" s="7">
        <f>'Data Siswa'!C35</f>
        <v>0</v>
      </c>
      <c r="D39" s="9">
        <f>'Nilai Syafahi'!X37</f>
        <v>0</v>
      </c>
      <c r="E39" s="8" t="e">
        <f>'Nilai Syafahi'!Y37</f>
        <v>#DIV/0!</v>
      </c>
      <c r="F39" s="6">
        <f ca="1">'Nilai Syafahi'!Z37</f>
        <v>25</v>
      </c>
      <c r="G39" s="6" t="str">
        <f>'Nilai Syafahi'!AA37</f>
        <v>-</v>
      </c>
    </row>
    <row r="40" spans="1:7" ht="18" customHeight="1" x14ac:dyDescent="0.35">
      <c r="A40" s="7">
        <v>35</v>
      </c>
      <c r="B40" s="111">
        <f>'Data Siswa'!B36</f>
        <v>0</v>
      </c>
      <c r="C40" s="7">
        <f>'Data Siswa'!C36</f>
        <v>0</v>
      </c>
      <c r="D40" s="9">
        <f>'Nilai Syafahi'!X38</f>
        <v>0</v>
      </c>
      <c r="E40" s="8" t="e">
        <f>'Nilai Syafahi'!Y38</f>
        <v>#DIV/0!</v>
      </c>
      <c r="F40" s="6">
        <f ca="1">'Nilai Syafahi'!Z38</f>
        <v>25</v>
      </c>
      <c r="G40" s="6" t="str">
        <f>'Nilai Syafahi'!AA38</f>
        <v>-</v>
      </c>
    </row>
    <row r="41" spans="1:7" ht="18" customHeight="1" x14ac:dyDescent="0.35">
      <c r="A41" s="7">
        <v>36</v>
      </c>
      <c r="B41" s="111">
        <f>'Data Siswa'!B37</f>
        <v>0</v>
      </c>
      <c r="C41" s="7">
        <f>'Data Siswa'!C37</f>
        <v>0</v>
      </c>
      <c r="D41" s="9">
        <f>'Nilai Syafahi'!X39</f>
        <v>0</v>
      </c>
      <c r="E41" s="8" t="e">
        <f>'Nilai Syafahi'!Y39</f>
        <v>#DIV/0!</v>
      </c>
      <c r="F41" s="6">
        <f ca="1">'Nilai Syafahi'!Z39</f>
        <v>25</v>
      </c>
      <c r="G41" s="6" t="str">
        <f>'Nilai Syafahi'!AA39</f>
        <v>-</v>
      </c>
    </row>
    <row r="42" spans="1:7" ht="18" customHeight="1" x14ac:dyDescent="0.35">
      <c r="A42" s="7">
        <v>37</v>
      </c>
      <c r="B42" s="111">
        <f>'Data Siswa'!B38</f>
        <v>0</v>
      </c>
      <c r="C42" s="7">
        <f>'Data Siswa'!C38</f>
        <v>0</v>
      </c>
      <c r="D42" s="9">
        <f>'Nilai Syafahi'!X40</f>
        <v>0</v>
      </c>
      <c r="E42" s="8" t="e">
        <f>'Nilai Syafahi'!Y40</f>
        <v>#DIV/0!</v>
      </c>
      <c r="F42" s="6">
        <f ca="1">'Nilai Syafahi'!Z40</f>
        <v>25</v>
      </c>
      <c r="G42" s="6" t="str">
        <f>'Nilai Syafahi'!AA40</f>
        <v>-</v>
      </c>
    </row>
    <row r="43" spans="1:7" ht="18" customHeight="1" x14ac:dyDescent="0.35">
      <c r="A43" s="7">
        <v>38</v>
      </c>
      <c r="B43" s="111">
        <f>'Data Siswa'!B39</f>
        <v>0</v>
      </c>
      <c r="C43" s="7">
        <f>'Data Siswa'!C39</f>
        <v>0</v>
      </c>
      <c r="D43" s="9">
        <f>'Nilai Syafahi'!X41</f>
        <v>0</v>
      </c>
      <c r="E43" s="8" t="e">
        <f>'Nilai Syafahi'!Y41</f>
        <v>#DIV/0!</v>
      </c>
      <c r="F43" s="6">
        <f ca="1">'Nilai Syafahi'!Z41</f>
        <v>25</v>
      </c>
      <c r="G43" s="6" t="str">
        <f>'Nilai Syafahi'!AA41</f>
        <v>-</v>
      </c>
    </row>
    <row r="44" spans="1:7" ht="18" customHeight="1" x14ac:dyDescent="0.35">
      <c r="A44" s="7">
        <v>39</v>
      </c>
      <c r="B44" s="111">
        <f>'Data Siswa'!B40</f>
        <v>0</v>
      </c>
      <c r="C44" s="7">
        <f>'Data Siswa'!C40</f>
        <v>0</v>
      </c>
      <c r="D44" s="9">
        <f>'Nilai Syafahi'!X42</f>
        <v>0</v>
      </c>
      <c r="E44" s="8" t="e">
        <f>'Nilai Syafahi'!Y42</f>
        <v>#DIV/0!</v>
      </c>
      <c r="F44" s="6">
        <f ca="1">'Nilai Syafahi'!Z42</f>
        <v>25</v>
      </c>
      <c r="G44" s="6" t="str">
        <f>'Nilai Syafahi'!AA42</f>
        <v>-</v>
      </c>
    </row>
    <row r="45" spans="1:7" ht="18" customHeight="1" x14ac:dyDescent="0.35">
      <c r="A45" s="7">
        <v>40</v>
      </c>
      <c r="B45" s="111">
        <f>'Data Siswa'!B41</f>
        <v>0</v>
      </c>
      <c r="C45" s="7">
        <f>'Data Siswa'!C41</f>
        <v>0</v>
      </c>
      <c r="D45" s="9">
        <f>'Nilai Syafahi'!X43</f>
        <v>0</v>
      </c>
      <c r="E45" s="8" t="e">
        <f>'Nilai Syafahi'!Y43</f>
        <v>#DIV/0!</v>
      </c>
      <c r="F45" s="6">
        <f ca="1">'Nilai Syafahi'!Z43</f>
        <v>25</v>
      </c>
      <c r="G45" s="6" t="str">
        <f>'Nilai Syafahi'!AA43</f>
        <v>-</v>
      </c>
    </row>
    <row r="47" spans="1:7" ht="18.5" x14ac:dyDescent="0.45">
      <c r="D47" s="109"/>
      <c r="E47" s="284" t="s">
        <v>162</v>
      </c>
      <c r="F47" s="284"/>
      <c r="G47" s="284"/>
    </row>
    <row r="48" spans="1:7" ht="18.5" x14ac:dyDescent="0.45">
      <c r="D48" s="109"/>
      <c r="E48" s="110"/>
      <c r="F48" s="110"/>
    </row>
    <row r="49" spans="4:7" ht="18.5" x14ac:dyDescent="0.45">
      <c r="D49" s="109"/>
      <c r="E49" s="110"/>
      <c r="F49" s="110"/>
    </row>
    <row r="50" spans="4:7" ht="18.5" x14ac:dyDescent="0.45">
      <c r="D50" s="109"/>
      <c r="E50" s="285" t="str">
        <f>Biodata!C19</f>
        <v>الأســـــــتاذ فــوزي فـــــــردوس</v>
      </c>
      <c r="F50" s="285"/>
      <c r="G50" s="285"/>
    </row>
    <row r="51" spans="4:7" ht="14.5" customHeight="1" x14ac:dyDescent="0.35"/>
  </sheetData>
  <autoFilter ref="B5:G45" xr:uid="{9B107FC2-4A67-485D-ABF2-C433B07F70C5}">
    <sortState xmlns:xlrd2="http://schemas.microsoft.com/office/spreadsheetml/2017/richdata2" ref="B6:G45">
      <sortCondition ref="F5:F45"/>
    </sortState>
  </autoFilter>
  <mergeCells count="4">
    <mergeCell ref="A1:G1"/>
    <mergeCell ref="A3:G3"/>
    <mergeCell ref="E47:G47"/>
    <mergeCell ref="E50:G50"/>
  </mergeCells>
  <pageMargins left="0.7" right="0.7" top="0.31179138321995464" bottom="0.28472222222222221" header="0.3" footer="0.3"/>
  <pageSetup paperSize="1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5"/>
  <dimension ref="A1:B93"/>
  <sheetViews>
    <sheetView topLeftCell="A83" zoomScale="150" workbookViewId="0">
      <selection activeCell="C7" sqref="C7"/>
    </sheetView>
  </sheetViews>
  <sheetFormatPr defaultRowHeight="14.5" x14ac:dyDescent="0.35"/>
  <cols>
    <col min="2" max="2" width="27.7265625" customWidth="1"/>
  </cols>
  <sheetData>
    <row r="1" spans="1:2" x14ac:dyDescent="0.35">
      <c r="A1" s="2"/>
      <c r="B1" s="2"/>
    </row>
    <row r="2" spans="1:2" x14ac:dyDescent="0.35">
      <c r="A2" s="4">
        <v>0</v>
      </c>
      <c r="B2" s="2" t="s">
        <v>97</v>
      </c>
    </row>
    <row r="3" spans="1:2" x14ac:dyDescent="0.35">
      <c r="A3" s="4">
        <v>1</v>
      </c>
      <c r="B3" s="2" t="s">
        <v>265</v>
      </c>
    </row>
    <row r="4" spans="1:2" x14ac:dyDescent="0.35">
      <c r="A4" s="4">
        <v>1.1000000000000001</v>
      </c>
      <c r="B4" s="2" t="s">
        <v>266</v>
      </c>
    </row>
    <row r="5" spans="1:2" x14ac:dyDescent="0.35">
      <c r="A5" s="4">
        <v>1.2</v>
      </c>
      <c r="B5" s="2" t="s">
        <v>274</v>
      </c>
    </row>
    <row r="6" spans="1:2" x14ac:dyDescent="0.35">
      <c r="A6" s="4">
        <v>1.3</v>
      </c>
      <c r="B6" s="2" t="s">
        <v>267</v>
      </c>
    </row>
    <row r="7" spans="1:2" x14ac:dyDescent="0.35">
      <c r="A7" s="4">
        <v>1.4</v>
      </c>
      <c r="B7" s="2" t="s">
        <v>268</v>
      </c>
    </row>
    <row r="8" spans="1:2" x14ac:dyDescent="0.35">
      <c r="A8" s="4">
        <v>1.5</v>
      </c>
      <c r="B8" s="2" t="s">
        <v>269</v>
      </c>
    </row>
    <row r="9" spans="1:2" x14ac:dyDescent="0.35">
      <c r="A9" s="4">
        <v>1.6</v>
      </c>
      <c r="B9" s="2" t="s">
        <v>270</v>
      </c>
    </row>
    <row r="10" spans="1:2" x14ac:dyDescent="0.35">
      <c r="A10" s="4">
        <v>1.7</v>
      </c>
      <c r="B10" s="2" t="s">
        <v>271</v>
      </c>
    </row>
    <row r="11" spans="1:2" x14ac:dyDescent="0.35">
      <c r="A11" s="4">
        <v>1.8</v>
      </c>
      <c r="B11" s="2" t="s">
        <v>272</v>
      </c>
    </row>
    <row r="12" spans="1:2" x14ac:dyDescent="0.35">
      <c r="A12" s="4">
        <v>1.9</v>
      </c>
      <c r="B12" s="2" t="s">
        <v>273</v>
      </c>
    </row>
    <row r="13" spans="1:2" x14ac:dyDescent="0.35">
      <c r="A13" s="4">
        <v>2</v>
      </c>
      <c r="B13" s="2" t="s">
        <v>182</v>
      </c>
    </row>
    <row r="14" spans="1:2" x14ac:dyDescent="0.35">
      <c r="A14" s="4">
        <v>2.1</v>
      </c>
      <c r="B14" s="2" t="s">
        <v>183</v>
      </c>
    </row>
    <row r="15" spans="1:2" x14ac:dyDescent="0.35">
      <c r="A15" s="4">
        <v>2.2000000000000002</v>
      </c>
      <c r="B15" s="2" t="s">
        <v>184</v>
      </c>
    </row>
    <row r="16" spans="1:2" x14ac:dyDescent="0.35">
      <c r="A16" s="4">
        <v>2.2999999999999998</v>
      </c>
      <c r="B16" s="2" t="s">
        <v>185</v>
      </c>
    </row>
    <row r="17" spans="1:2" x14ac:dyDescent="0.35">
      <c r="A17" s="4">
        <v>2.4</v>
      </c>
      <c r="B17" s="2" t="s">
        <v>186</v>
      </c>
    </row>
    <row r="18" spans="1:2" x14ac:dyDescent="0.35">
      <c r="A18" s="4">
        <v>2.5</v>
      </c>
      <c r="B18" s="2" t="s">
        <v>187</v>
      </c>
    </row>
    <row r="19" spans="1:2" x14ac:dyDescent="0.35">
      <c r="A19" s="4">
        <v>2.6</v>
      </c>
      <c r="B19" s="2" t="s">
        <v>188</v>
      </c>
    </row>
    <row r="20" spans="1:2" x14ac:dyDescent="0.35">
      <c r="A20" s="4">
        <v>2.7</v>
      </c>
      <c r="B20" s="2" t="s">
        <v>189</v>
      </c>
    </row>
    <row r="21" spans="1:2" x14ac:dyDescent="0.35">
      <c r="A21" s="4">
        <v>2.8</v>
      </c>
      <c r="B21" s="2" t="s">
        <v>190</v>
      </c>
    </row>
    <row r="22" spans="1:2" x14ac:dyDescent="0.35">
      <c r="A22" s="4">
        <v>2.9</v>
      </c>
      <c r="B22" s="2" t="s">
        <v>191</v>
      </c>
    </row>
    <row r="23" spans="1:2" x14ac:dyDescent="0.35">
      <c r="A23" s="4">
        <v>3</v>
      </c>
      <c r="B23" s="2" t="s">
        <v>192</v>
      </c>
    </row>
    <row r="24" spans="1:2" x14ac:dyDescent="0.35">
      <c r="A24" s="4">
        <v>3.1</v>
      </c>
      <c r="B24" s="2" t="s">
        <v>193</v>
      </c>
    </row>
    <row r="25" spans="1:2" x14ac:dyDescent="0.35">
      <c r="A25" s="4">
        <v>3.2</v>
      </c>
      <c r="B25" s="2" t="s">
        <v>194</v>
      </c>
    </row>
    <row r="26" spans="1:2" x14ac:dyDescent="0.35">
      <c r="A26" s="4">
        <v>3.3</v>
      </c>
      <c r="B26" s="2" t="s">
        <v>195</v>
      </c>
    </row>
    <row r="27" spans="1:2" x14ac:dyDescent="0.35">
      <c r="A27" s="4">
        <v>3.4</v>
      </c>
      <c r="B27" s="2" t="s">
        <v>196</v>
      </c>
    </row>
    <row r="28" spans="1:2" x14ac:dyDescent="0.35">
      <c r="A28" s="4">
        <v>3.5</v>
      </c>
      <c r="B28" s="2" t="s">
        <v>197</v>
      </c>
    </row>
    <row r="29" spans="1:2" x14ac:dyDescent="0.35">
      <c r="A29" s="4">
        <v>3.6</v>
      </c>
      <c r="B29" s="2" t="s">
        <v>198</v>
      </c>
    </row>
    <row r="30" spans="1:2" x14ac:dyDescent="0.35">
      <c r="A30" s="4">
        <v>3.7</v>
      </c>
      <c r="B30" s="2" t="s">
        <v>199</v>
      </c>
    </row>
    <row r="31" spans="1:2" x14ac:dyDescent="0.35">
      <c r="A31" s="4">
        <v>3.8</v>
      </c>
      <c r="B31" s="2" t="s">
        <v>200</v>
      </c>
    </row>
    <row r="32" spans="1:2" x14ac:dyDescent="0.35">
      <c r="A32" s="4">
        <v>3.9</v>
      </c>
      <c r="B32" s="2" t="s">
        <v>201</v>
      </c>
    </row>
    <row r="33" spans="1:2" x14ac:dyDescent="0.35">
      <c r="A33" s="4">
        <v>4</v>
      </c>
      <c r="B33" s="2" t="s">
        <v>202</v>
      </c>
    </row>
    <row r="34" spans="1:2" x14ac:dyDescent="0.35">
      <c r="A34" s="4">
        <v>4.0999999999999996</v>
      </c>
      <c r="B34" s="2" t="s">
        <v>203</v>
      </c>
    </row>
    <row r="35" spans="1:2" x14ac:dyDescent="0.35">
      <c r="A35" s="4">
        <v>4.2</v>
      </c>
      <c r="B35" s="2" t="s">
        <v>204</v>
      </c>
    </row>
    <row r="36" spans="1:2" x14ac:dyDescent="0.35">
      <c r="A36" s="4">
        <v>4.3</v>
      </c>
      <c r="B36" s="2" t="s">
        <v>205</v>
      </c>
    </row>
    <row r="37" spans="1:2" x14ac:dyDescent="0.35">
      <c r="A37" s="4">
        <v>4.4000000000000004</v>
      </c>
      <c r="B37" s="2" t="s">
        <v>206</v>
      </c>
    </row>
    <row r="38" spans="1:2" x14ac:dyDescent="0.35">
      <c r="A38" s="4">
        <v>4.5</v>
      </c>
      <c r="B38" s="2" t="s">
        <v>207</v>
      </c>
    </row>
    <row r="39" spans="1:2" x14ac:dyDescent="0.35">
      <c r="A39" s="4">
        <v>4.5999999999999996</v>
      </c>
      <c r="B39" s="2" t="s">
        <v>208</v>
      </c>
    </row>
    <row r="40" spans="1:2" x14ac:dyDescent="0.35">
      <c r="A40" s="4">
        <v>4.7</v>
      </c>
      <c r="B40" s="2" t="s">
        <v>209</v>
      </c>
    </row>
    <row r="41" spans="1:2" x14ac:dyDescent="0.35">
      <c r="A41" s="4">
        <v>4.8</v>
      </c>
      <c r="B41" s="2" t="s">
        <v>210</v>
      </c>
    </row>
    <row r="42" spans="1:2" x14ac:dyDescent="0.35">
      <c r="A42" s="4">
        <v>4.9000000000000004</v>
      </c>
      <c r="B42" s="2" t="s">
        <v>211</v>
      </c>
    </row>
    <row r="43" spans="1:2" x14ac:dyDescent="0.35">
      <c r="A43" s="4">
        <v>5</v>
      </c>
      <c r="B43" s="2" t="s">
        <v>212</v>
      </c>
    </row>
    <row r="44" spans="1:2" x14ac:dyDescent="0.35">
      <c r="A44" s="4">
        <v>5.0999999999999996</v>
      </c>
      <c r="B44" s="2" t="s">
        <v>213</v>
      </c>
    </row>
    <row r="45" spans="1:2" x14ac:dyDescent="0.35">
      <c r="A45" s="4">
        <v>5.2</v>
      </c>
      <c r="B45" s="2" t="s">
        <v>214</v>
      </c>
    </row>
    <row r="46" spans="1:2" x14ac:dyDescent="0.35">
      <c r="A46" s="4">
        <v>5.3</v>
      </c>
      <c r="B46" s="2" t="s">
        <v>215</v>
      </c>
    </row>
    <row r="47" spans="1:2" x14ac:dyDescent="0.35">
      <c r="A47" s="4">
        <v>5.4</v>
      </c>
      <c r="B47" s="2" t="s">
        <v>216</v>
      </c>
    </row>
    <row r="48" spans="1:2" x14ac:dyDescent="0.35">
      <c r="A48" s="4">
        <v>5.5</v>
      </c>
      <c r="B48" s="2" t="s">
        <v>217</v>
      </c>
    </row>
    <row r="49" spans="1:2" x14ac:dyDescent="0.35">
      <c r="A49" s="4">
        <v>5.6</v>
      </c>
      <c r="B49" s="2" t="s">
        <v>218</v>
      </c>
    </row>
    <row r="50" spans="1:2" x14ac:dyDescent="0.35">
      <c r="A50" s="4">
        <v>5.7</v>
      </c>
      <c r="B50" s="2" t="s">
        <v>219</v>
      </c>
    </row>
    <row r="51" spans="1:2" x14ac:dyDescent="0.35">
      <c r="A51" s="4">
        <v>5.8</v>
      </c>
      <c r="B51" s="2" t="s">
        <v>220</v>
      </c>
    </row>
    <row r="52" spans="1:2" x14ac:dyDescent="0.35">
      <c r="A52" s="4">
        <v>5.9</v>
      </c>
      <c r="B52" s="2" t="s">
        <v>221</v>
      </c>
    </row>
    <row r="53" spans="1:2" x14ac:dyDescent="0.35">
      <c r="A53" s="4">
        <v>6</v>
      </c>
      <c r="B53" s="2" t="s">
        <v>222</v>
      </c>
    </row>
    <row r="54" spans="1:2" x14ac:dyDescent="0.35">
      <c r="A54" s="4">
        <v>6.1</v>
      </c>
      <c r="B54" s="2" t="s">
        <v>223</v>
      </c>
    </row>
    <row r="55" spans="1:2" x14ac:dyDescent="0.35">
      <c r="A55" s="4">
        <v>6.2</v>
      </c>
      <c r="B55" s="2" t="s">
        <v>224</v>
      </c>
    </row>
    <row r="56" spans="1:2" x14ac:dyDescent="0.35">
      <c r="A56" s="4">
        <v>6.3</v>
      </c>
      <c r="B56" s="2" t="s">
        <v>225</v>
      </c>
    </row>
    <row r="57" spans="1:2" x14ac:dyDescent="0.35">
      <c r="A57" s="4">
        <v>6.4</v>
      </c>
      <c r="B57" s="2" t="s">
        <v>226</v>
      </c>
    </row>
    <row r="58" spans="1:2" x14ac:dyDescent="0.35">
      <c r="A58" s="4">
        <v>6.5</v>
      </c>
      <c r="B58" s="2" t="s">
        <v>227</v>
      </c>
    </row>
    <row r="59" spans="1:2" x14ac:dyDescent="0.35">
      <c r="A59" s="4">
        <v>6.6</v>
      </c>
      <c r="B59" s="2" t="s">
        <v>228</v>
      </c>
    </row>
    <row r="60" spans="1:2" x14ac:dyDescent="0.35">
      <c r="A60" s="4">
        <v>6.7</v>
      </c>
      <c r="B60" s="2" t="s">
        <v>229</v>
      </c>
    </row>
    <row r="61" spans="1:2" x14ac:dyDescent="0.35">
      <c r="A61" s="4">
        <v>6.8</v>
      </c>
      <c r="B61" s="2" t="s">
        <v>230</v>
      </c>
    </row>
    <row r="62" spans="1:2" x14ac:dyDescent="0.35">
      <c r="A62" s="4">
        <v>6.9</v>
      </c>
      <c r="B62" s="2" t="s">
        <v>231</v>
      </c>
    </row>
    <row r="63" spans="1:2" x14ac:dyDescent="0.35">
      <c r="A63" s="4">
        <v>7</v>
      </c>
      <c r="B63" s="2" t="s">
        <v>232</v>
      </c>
    </row>
    <row r="64" spans="1:2" x14ac:dyDescent="0.35">
      <c r="A64" s="4">
        <v>7.1</v>
      </c>
      <c r="B64" s="2" t="s">
        <v>233</v>
      </c>
    </row>
    <row r="65" spans="1:2" x14ac:dyDescent="0.35">
      <c r="A65" s="4">
        <v>7.2</v>
      </c>
      <c r="B65" s="2" t="s">
        <v>234</v>
      </c>
    </row>
    <row r="66" spans="1:2" x14ac:dyDescent="0.35">
      <c r="A66" s="4">
        <v>7.3</v>
      </c>
      <c r="B66" s="2" t="s">
        <v>235</v>
      </c>
    </row>
    <row r="67" spans="1:2" x14ac:dyDescent="0.35">
      <c r="A67" s="4">
        <v>7.4</v>
      </c>
      <c r="B67" s="2" t="s">
        <v>236</v>
      </c>
    </row>
    <row r="68" spans="1:2" x14ac:dyDescent="0.35">
      <c r="A68" s="4">
        <v>7.5</v>
      </c>
      <c r="B68" s="2" t="s">
        <v>237</v>
      </c>
    </row>
    <row r="69" spans="1:2" x14ac:dyDescent="0.35">
      <c r="A69" s="4">
        <v>7.6</v>
      </c>
      <c r="B69" s="2" t="s">
        <v>238</v>
      </c>
    </row>
    <row r="70" spans="1:2" x14ac:dyDescent="0.35">
      <c r="A70" s="4">
        <v>7.7</v>
      </c>
      <c r="B70" s="2" t="s">
        <v>239</v>
      </c>
    </row>
    <row r="71" spans="1:2" x14ac:dyDescent="0.35">
      <c r="A71" s="4">
        <v>7.8</v>
      </c>
      <c r="B71" s="2" t="s">
        <v>240</v>
      </c>
    </row>
    <row r="72" spans="1:2" x14ac:dyDescent="0.35">
      <c r="A72" s="4">
        <v>7.9</v>
      </c>
      <c r="B72" s="2" t="s">
        <v>241</v>
      </c>
    </row>
    <row r="73" spans="1:2" x14ac:dyDescent="0.35">
      <c r="A73" s="4">
        <v>8</v>
      </c>
      <c r="B73" s="2" t="s">
        <v>242</v>
      </c>
    </row>
    <row r="74" spans="1:2" x14ac:dyDescent="0.35">
      <c r="A74" s="4">
        <v>8.1</v>
      </c>
      <c r="B74" s="2" t="s">
        <v>243</v>
      </c>
    </row>
    <row r="75" spans="1:2" x14ac:dyDescent="0.35">
      <c r="A75" s="4">
        <v>8.1999999999999993</v>
      </c>
      <c r="B75" s="2" t="s">
        <v>244</v>
      </c>
    </row>
    <row r="76" spans="1:2" x14ac:dyDescent="0.35">
      <c r="A76" s="4">
        <v>8.3000000000000007</v>
      </c>
      <c r="B76" s="2" t="s">
        <v>245</v>
      </c>
    </row>
    <row r="77" spans="1:2" x14ac:dyDescent="0.35">
      <c r="A77" s="4">
        <v>8.4</v>
      </c>
      <c r="B77" s="2" t="s">
        <v>246</v>
      </c>
    </row>
    <row r="78" spans="1:2" x14ac:dyDescent="0.35">
      <c r="A78" s="4">
        <v>8.5</v>
      </c>
      <c r="B78" s="2" t="s">
        <v>247</v>
      </c>
    </row>
    <row r="79" spans="1:2" x14ac:dyDescent="0.35">
      <c r="A79" s="4">
        <v>8.6</v>
      </c>
      <c r="B79" s="2" t="s">
        <v>248</v>
      </c>
    </row>
    <row r="80" spans="1:2" x14ac:dyDescent="0.35">
      <c r="A80" s="4">
        <v>8.6999999999999993</v>
      </c>
      <c r="B80" s="2" t="s">
        <v>249</v>
      </c>
    </row>
    <row r="81" spans="1:2" x14ac:dyDescent="0.35">
      <c r="A81" s="4">
        <v>8.8000000000000007</v>
      </c>
      <c r="B81" s="2" t="s">
        <v>250</v>
      </c>
    </row>
    <row r="82" spans="1:2" x14ac:dyDescent="0.35">
      <c r="A82" s="4">
        <v>8.9</v>
      </c>
      <c r="B82" s="2" t="s">
        <v>251</v>
      </c>
    </row>
    <row r="83" spans="1:2" x14ac:dyDescent="0.35">
      <c r="A83" s="4">
        <v>9</v>
      </c>
      <c r="B83" s="2" t="s">
        <v>252</v>
      </c>
    </row>
    <row r="84" spans="1:2" x14ac:dyDescent="0.35">
      <c r="A84" s="4">
        <v>9.1</v>
      </c>
      <c r="B84" s="2" t="s">
        <v>253</v>
      </c>
    </row>
    <row r="85" spans="1:2" x14ac:dyDescent="0.35">
      <c r="A85" s="4">
        <v>9.1999999999999993</v>
      </c>
      <c r="B85" s="2" t="s">
        <v>254</v>
      </c>
    </row>
    <row r="86" spans="1:2" x14ac:dyDescent="0.35">
      <c r="A86" s="4">
        <v>9.3000000000000007</v>
      </c>
      <c r="B86" s="2" t="s">
        <v>255</v>
      </c>
    </row>
    <row r="87" spans="1:2" x14ac:dyDescent="0.35">
      <c r="A87" s="4">
        <v>9.3999999999999897</v>
      </c>
      <c r="B87" s="2" t="s">
        <v>256</v>
      </c>
    </row>
    <row r="88" spans="1:2" x14ac:dyDescent="0.35">
      <c r="A88" s="4">
        <v>9.4999999999999893</v>
      </c>
      <c r="B88" s="2" t="s">
        <v>257</v>
      </c>
    </row>
    <row r="89" spans="1:2" x14ac:dyDescent="0.35">
      <c r="A89" s="4">
        <v>9.5999999999999908</v>
      </c>
      <c r="B89" s="2" t="s">
        <v>258</v>
      </c>
    </row>
    <row r="90" spans="1:2" x14ac:dyDescent="0.35">
      <c r="A90" s="4">
        <v>9.6999999999999904</v>
      </c>
      <c r="B90" s="2" t="s">
        <v>259</v>
      </c>
    </row>
    <row r="91" spans="1:2" x14ac:dyDescent="0.35">
      <c r="A91" s="4">
        <v>9.7999999999999901</v>
      </c>
      <c r="B91" s="2" t="s">
        <v>260</v>
      </c>
    </row>
    <row r="92" spans="1:2" x14ac:dyDescent="0.35">
      <c r="A92" s="4">
        <v>9.8999999999999897</v>
      </c>
      <c r="B92" s="2" t="s">
        <v>261</v>
      </c>
    </row>
    <row r="93" spans="1:2" x14ac:dyDescent="0.35">
      <c r="A93" s="4">
        <v>9.9999999999999893</v>
      </c>
      <c r="B93" s="2" t="s">
        <v>262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Lembar kerja</vt:lpstr>
      </vt:variant>
      <vt:variant>
        <vt:i4>9</vt:i4>
      </vt:variant>
      <vt:variant>
        <vt:lpstr>Rentang Bernama</vt:lpstr>
      </vt:variant>
      <vt:variant>
        <vt:i4>3</vt:i4>
      </vt:variant>
    </vt:vector>
  </HeadingPairs>
  <TitlesOfParts>
    <vt:vector size="12" baseType="lpstr">
      <vt:lpstr>Identitas</vt:lpstr>
      <vt:lpstr>Biodata</vt:lpstr>
      <vt:lpstr>Data Siswa</vt:lpstr>
      <vt:lpstr>Nilai Tahriri</vt:lpstr>
      <vt:lpstr>Nilai Syafahi</vt:lpstr>
      <vt:lpstr>Akhlak</vt:lpstr>
      <vt:lpstr>Rapot</vt:lpstr>
      <vt:lpstr>Rekap Nilai</vt:lpstr>
      <vt:lpstr>Sheet1</vt:lpstr>
      <vt:lpstr>nilai</vt:lpstr>
      <vt:lpstr>'Nilai Syafahi'!Print_Area</vt:lpstr>
      <vt:lpstr>Rapot!Print_Area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AUFA</dc:creator>
  <cp:lastModifiedBy>Anm_ Style</cp:lastModifiedBy>
  <cp:lastPrinted>2024-12-19T15:02:04Z</cp:lastPrinted>
  <dcterms:created xsi:type="dcterms:W3CDTF">2019-11-28T05:18:02Z</dcterms:created>
  <dcterms:modified xsi:type="dcterms:W3CDTF">2024-12-19T16:57:57Z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2022-12-01T13:38:01Z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b4090554-f871-4442-9276-4cc81136565e</vt:lpwstr>
  </property>
  <property fmtid="{D5CDD505-2E9C-101B-9397-08002B2CF9AE}" pid="7" name="MSIP_Label_defa4170-0d19-0005-0004-bc88714345d2_ActionId">
    <vt:lpwstr>68af749b-b71c-4c79-a6ac-4ac16f65e518</vt:lpwstr>
  </property>
  <property fmtid="{D5CDD505-2E9C-101B-9397-08002B2CF9AE}" pid="8" name="MSIP_Label_defa4170-0d19-0005-0004-bc88714345d2_ContentBits">
    <vt:lpwstr>0</vt:lpwstr>
  </property>
</Properties>
</file>